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daho\ID AC 2023 11 (Nov) - Integration 23 IRP\"/>
    </mc:Choice>
  </mc:AlternateContent>
  <xr:revisionPtr revIDLastSave="0" documentId="13_ncr:1_{50389539-0FD7-4DA4-B579-53A2D4573F74}" xr6:coauthVersionLast="47" xr6:coauthVersionMax="47" xr10:uidLastSave="{00000000-0000-0000-0000-000000000000}"/>
  <bookViews>
    <workbookView xWindow="30495" yWindow="2235" windowWidth="21600" windowHeight="11160" xr2:uid="{834E979D-FDF9-4177-BBF9-BB04A4ACDA5A}"/>
  </bookViews>
  <sheets>
    <sheet name="Table 1" sheetId="3" r:id="rId1"/>
    <sheet name="Table 2" sheetId="4" r:id="rId2"/>
    <sheet name="ID Integration" sheetId="2" r:id="rId3"/>
    <sheet name="23 IRP Summary" sheetId="1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4" l="1"/>
  <c r="B5" i="3"/>
  <c r="A6" i="4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D4" i="4"/>
  <c r="E4" i="4" s="1"/>
  <c r="F4" i="4" s="1"/>
  <c r="G4" i="4" s="1"/>
  <c r="H4" i="4" s="1"/>
  <c r="I4" i="4" s="1"/>
  <c r="E4" i="3"/>
  <c r="F4" i="3"/>
  <c r="G4" i="3"/>
  <c r="H4" i="3"/>
  <c r="I4" i="3"/>
  <c r="D4" i="3"/>
  <c r="A8" i="3"/>
  <c r="A7" i="3"/>
  <c r="A6" i="3"/>
  <c r="D5" i="4" l="1"/>
  <c r="A9" i="3"/>
  <c r="D5" i="3"/>
  <c r="K11" i="2"/>
  <c r="K12" i="2" s="1"/>
  <c r="K13" i="2" s="1"/>
  <c r="K14" i="2" s="1"/>
  <c r="K15" i="2" s="1"/>
  <c r="K16" i="2" s="1"/>
  <c r="K17" i="2" s="1"/>
  <c r="K18" i="2" s="1"/>
  <c r="K19" i="2" s="1"/>
  <c r="K20" i="2" s="1"/>
  <c r="K21" i="2" s="1"/>
  <c r="K22" i="2" s="1"/>
  <c r="K23" i="2" s="1"/>
  <c r="K24" i="2" s="1"/>
  <c r="K25" i="2" s="1"/>
  <c r="K26" i="2" s="1"/>
  <c r="K27" i="2" s="1"/>
  <c r="K28" i="2" s="1"/>
  <c r="K29" i="2" s="1"/>
  <c r="K30" i="2" s="1"/>
  <c r="K31" i="2" s="1"/>
  <c r="F10" i="2"/>
  <c r="E10" i="2"/>
  <c r="C5" i="2"/>
  <c r="C6" i="2" s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B5" i="2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A10" i="3" l="1"/>
  <c r="B33" i="2"/>
  <c r="C33" i="2"/>
  <c r="A11" i="3" l="1"/>
  <c r="A12" i="3" l="1"/>
  <c r="A13" i="3" l="1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F25" i="1"/>
  <c r="F28" i="2" s="1"/>
  <c r="E25" i="1"/>
  <c r="E28" i="2" s="1"/>
  <c r="F29" i="2" l="1"/>
  <c r="B23" i="4"/>
  <c r="E29" i="2"/>
  <c r="B23" i="3"/>
  <c r="A14" i="3"/>
  <c r="O9" i="1"/>
  <c r="N9" i="1"/>
  <c r="E30" i="2" l="1"/>
  <c r="B24" i="3"/>
  <c r="F30" i="2"/>
  <c r="B24" i="4"/>
  <c r="A15" i="3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F31" i="2" l="1"/>
  <c r="B26" i="4" s="1"/>
  <c r="B27" i="4" s="1"/>
  <c r="B28" i="4" s="1"/>
  <c r="B29" i="4" s="1"/>
  <c r="B25" i="4"/>
  <c r="E31" i="2"/>
  <c r="B26" i="3" s="1"/>
  <c r="B27" i="3" s="1"/>
  <c r="B28" i="3" s="1"/>
  <c r="B29" i="3" s="1"/>
  <c r="B25" i="3"/>
  <c r="A16" i="3"/>
  <c r="I25" i="1"/>
  <c r="H25" i="1"/>
  <c r="A17" i="3" l="1"/>
  <c r="E18" i="1"/>
  <c r="E21" i="2" s="1"/>
  <c r="B16" i="3" s="1"/>
  <c r="F9" i="1"/>
  <c r="F12" i="2" s="1"/>
  <c r="B7" i="4" s="1"/>
  <c r="E16" i="1"/>
  <c r="E19" i="2" s="1"/>
  <c r="B14" i="3" s="1"/>
  <c r="E14" i="1"/>
  <c r="E17" i="2" s="1"/>
  <c r="B12" i="3" s="1"/>
  <c r="E17" i="1"/>
  <c r="E20" i="2" s="1"/>
  <c r="B15" i="3" s="1"/>
  <c r="E24" i="1"/>
  <c r="E27" i="2" s="1"/>
  <c r="B22" i="3" s="1"/>
  <c r="E9" i="1"/>
  <c r="E12" i="2" s="1"/>
  <c r="B7" i="3" s="1"/>
  <c r="F17" i="1"/>
  <c r="F20" i="2" s="1"/>
  <c r="B15" i="4" s="1"/>
  <c r="F24" i="1"/>
  <c r="F27" i="2" s="1"/>
  <c r="B22" i="4" s="1"/>
  <c r="F18" i="1"/>
  <c r="F21" i="2" s="1"/>
  <c r="B16" i="4" s="1"/>
  <c r="F16" i="1"/>
  <c r="F19" i="2" s="1"/>
  <c r="B14" i="4" s="1"/>
  <c r="E13" i="1"/>
  <c r="E16" i="2" s="1"/>
  <c r="B11" i="3" s="1"/>
  <c r="F8" i="1"/>
  <c r="F11" i="2" s="1"/>
  <c r="F12" i="1"/>
  <c r="F15" i="2" s="1"/>
  <c r="B10" i="4" s="1"/>
  <c r="F13" i="1"/>
  <c r="F16" i="2" s="1"/>
  <c r="B11" i="4" s="1"/>
  <c r="E22" i="1"/>
  <c r="E25" i="2" s="1"/>
  <c r="B20" i="3" s="1"/>
  <c r="F22" i="1"/>
  <c r="F25" i="2" s="1"/>
  <c r="B20" i="4" s="1"/>
  <c r="E8" i="1"/>
  <c r="E11" i="2" s="1"/>
  <c r="E21" i="1"/>
  <c r="E24" i="2" s="1"/>
  <c r="B19" i="3" s="1"/>
  <c r="E20" i="1"/>
  <c r="E23" i="2" s="1"/>
  <c r="B18" i="3" s="1"/>
  <c r="F21" i="1"/>
  <c r="F24" i="2" s="1"/>
  <c r="B19" i="4" s="1"/>
  <c r="E10" i="1"/>
  <c r="E13" i="2" s="1"/>
  <c r="B8" i="3" s="1"/>
  <c r="F20" i="1"/>
  <c r="F23" i="2" s="1"/>
  <c r="B18" i="4" s="1"/>
  <c r="H13" i="1"/>
  <c r="I18" i="1"/>
  <c r="H14" i="1"/>
  <c r="I14" i="1"/>
  <c r="I24" i="1"/>
  <c r="I9" i="1"/>
  <c r="I20" i="1"/>
  <c r="I13" i="1"/>
  <c r="H12" i="1"/>
  <c r="H8" i="1"/>
  <c r="I12" i="1"/>
  <c r="F14" i="1"/>
  <c r="F17" i="2" s="1"/>
  <c r="B12" i="4" s="1"/>
  <c r="F10" i="1"/>
  <c r="F13" i="2" s="1"/>
  <c r="B8" i="4" s="1"/>
  <c r="I17" i="1"/>
  <c r="I16" i="1"/>
  <c r="E12" i="1"/>
  <c r="E15" i="2" s="1"/>
  <c r="B10" i="3" s="1"/>
  <c r="I21" i="1"/>
  <c r="H24" i="1"/>
  <c r="H20" i="1"/>
  <c r="I8" i="1"/>
  <c r="H10" i="1"/>
  <c r="I10" i="1"/>
  <c r="H18" i="1"/>
  <c r="H21" i="1"/>
  <c r="H22" i="1"/>
  <c r="I22" i="1"/>
  <c r="H17" i="1"/>
  <c r="H9" i="1"/>
  <c r="H16" i="1"/>
  <c r="I5" i="3" l="1"/>
  <c r="I7" i="3"/>
  <c r="I6" i="3"/>
  <c r="I7" i="4"/>
  <c r="I5" i="4"/>
  <c r="I6" i="4"/>
  <c r="B6" i="4"/>
  <c r="F5" i="3"/>
  <c r="F6" i="3"/>
  <c r="F7" i="3"/>
  <c r="G5" i="3"/>
  <c r="G6" i="3"/>
  <c r="G7" i="3"/>
  <c r="G21" i="4"/>
  <c r="G5" i="4"/>
  <c r="G9" i="4"/>
  <c r="G19" i="4"/>
  <c r="B6" i="3"/>
  <c r="F19" i="4"/>
  <c r="F5" i="4"/>
  <c r="F21" i="4"/>
  <c r="F6" i="4"/>
  <c r="A18" i="3"/>
  <c r="F15" i="1"/>
  <c r="F18" i="2" s="1"/>
  <c r="B13" i="4" s="1"/>
  <c r="I10" i="4" s="1"/>
  <c r="E19" i="1"/>
  <c r="E22" i="2" s="1"/>
  <c r="B17" i="3" s="1"/>
  <c r="H19" i="1"/>
  <c r="I15" i="1"/>
  <c r="E11" i="1"/>
  <c r="E14" i="2" s="1"/>
  <c r="B9" i="3" s="1"/>
  <c r="D16" i="3" s="1"/>
  <c r="E23" i="1"/>
  <c r="E26" i="2" s="1"/>
  <c r="B21" i="3" s="1"/>
  <c r="F19" i="1"/>
  <c r="F22" i="2" s="1"/>
  <c r="B17" i="4" s="1"/>
  <c r="F11" i="1"/>
  <c r="F14" i="2" s="1"/>
  <c r="B9" i="4" s="1"/>
  <c r="G22" i="4" s="1"/>
  <c r="F23" i="1"/>
  <c r="F26" i="2" s="1"/>
  <c r="B21" i="4" s="1"/>
  <c r="E15" i="1"/>
  <c r="E18" i="2" s="1"/>
  <c r="B13" i="3" s="1"/>
  <c r="H12" i="3" s="1"/>
  <c r="H11" i="1"/>
  <c r="H23" i="1"/>
  <c r="I23" i="1"/>
  <c r="I19" i="1"/>
  <c r="I11" i="1"/>
  <c r="H15" i="1"/>
  <c r="F13" i="4" l="1"/>
  <c r="G24" i="4"/>
  <c r="I8" i="4"/>
  <c r="I12" i="4"/>
  <c r="I9" i="3"/>
  <c r="I20" i="4"/>
  <c r="H24" i="4"/>
  <c r="H9" i="4"/>
  <c r="H17" i="4"/>
  <c r="H10" i="4"/>
  <c r="H18" i="4"/>
  <c r="H7" i="4"/>
  <c r="H11" i="4"/>
  <c r="H19" i="4"/>
  <c r="H12" i="4"/>
  <c r="H20" i="4"/>
  <c r="H16" i="4"/>
  <c r="H5" i="4"/>
  <c r="H13" i="4"/>
  <c r="H21" i="4"/>
  <c r="H23" i="4"/>
  <c r="H6" i="4"/>
  <c r="H14" i="4"/>
  <c r="H22" i="4"/>
  <c r="H15" i="4"/>
  <c r="H8" i="4"/>
  <c r="E15" i="3"/>
  <c r="F23" i="4"/>
  <c r="F9" i="4"/>
  <c r="G13" i="4"/>
  <c r="G14" i="4"/>
  <c r="I15" i="4"/>
  <c r="I9" i="4"/>
  <c r="I8" i="3"/>
  <c r="F15" i="4"/>
  <c r="F16" i="4"/>
  <c r="G12" i="4"/>
  <c r="G16" i="4"/>
  <c r="G6" i="4"/>
  <c r="F12" i="3"/>
  <c r="F33" i="2"/>
  <c r="I10" i="2" s="1"/>
  <c r="I21" i="4"/>
  <c r="I19" i="4"/>
  <c r="F11" i="4"/>
  <c r="F20" i="4"/>
  <c r="F7" i="4"/>
  <c r="G18" i="4"/>
  <c r="G11" i="3"/>
  <c r="F11" i="3"/>
  <c r="D23" i="4"/>
  <c r="D24" i="4"/>
  <c r="D15" i="4"/>
  <c r="E11" i="4"/>
  <c r="D9" i="4"/>
  <c r="E17" i="4"/>
  <c r="D22" i="4"/>
  <c r="E24" i="4"/>
  <c r="E6" i="4"/>
  <c r="D21" i="4"/>
  <c r="E15" i="4"/>
  <c r="D13" i="4"/>
  <c r="E20" i="4"/>
  <c r="E12" i="4"/>
  <c r="E7" i="4"/>
  <c r="D6" i="4"/>
  <c r="E19" i="4"/>
  <c r="D17" i="4"/>
  <c r="E21" i="4"/>
  <c r="D16" i="4"/>
  <c r="E13" i="4"/>
  <c r="E8" i="4"/>
  <c r="E10" i="4"/>
  <c r="D10" i="4"/>
  <c r="E23" i="4"/>
  <c r="D20" i="4"/>
  <c r="D7" i="4"/>
  <c r="D11" i="4"/>
  <c r="D8" i="4"/>
  <c r="E14" i="4"/>
  <c r="D14" i="4"/>
  <c r="E5" i="4"/>
  <c r="E16" i="4"/>
  <c r="D12" i="4"/>
  <c r="E18" i="4"/>
  <c r="D18" i="4"/>
  <c r="E9" i="4"/>
  <c r="E22" i="4"/>
  <c r="D19" i="4"/>
  <c r="I13" i="4"/>
  <c r="I11" i="4"/>
  <c r="G12" i="3"/>
  <c r="F18" i="4"/>
  <c r="G10" i="4"/>
  <c r="I24" i="4"/>
  <c r="F14" i="3"/>
  <c r="H6" i="3"/>
  <c r="H5" i="3"/>
  <c r="H8" i="3"/>
  <c r="H7" i="3"/>
  <c r="H9" i="3"/>
  <c r="H10" i="3"/>
  <c r="H11" i="3"/>
  <c r="F24" i="4"/>
  <c r="F10" i="4"/>
  <c r="G23" i="4"/>
  <c r="G10" i="3"/>
  <c r="F10" i="3"/>
  <c r="I16" i="4"/>
  <c r="I11" i="3"/>
  <c r="F14" i="4"/>
  <c r="F17" i="4"/>
  <c r="E33" i="2"/>
  <c r="H10" i="2" s="1"/>
  <c r="G20" i="4"/>
  <c r="G15" i="4"/>
  <c r="G9" i="3"/>
  <c r="F9" i="3"/>
  <c r="I22" i="4"/>
  <c r="I17" i="4"/>
  <c r="I18" i="4"/>
  <c r="I10" i="3"/>
  <c r="G11" i="4"/>
  <c r="F12" i="4"/>
  <c r="G8" i="4"/>
  <c r="F22" i="4"/>
  <c r="G13" i="3"/>
  <c r="F8" i="4"/>
  <c r="E5" i="3"/>
  <c r="E7" i="3"/>
  <c r="D8" i="3"/>
  <c r="D7" i="3"/>
  <c r="E6" i="3"/>
  <c r="D6" i="3"/>
  <c r="D9" i="3"/>
  <c r="E9" i="3"/>
  <c r="D10" i="3"/>
  <c r="E8" i="3"/>
  <c r="D12" i="3"/>
  <c r="D11" i="3"/>
  <c r="E11" i="3"/>
  <c r="E10" i="3"/>
  <c r="D13" i="3"/>
  <c r="E12" i="3"/>
  <c r="D14" i="3"/>
  <c r="E13" i="3"/>
  <c r="D15" i="3"/>
  <c r="E14" i="3"/>
  <c r="G17" i="4"/>
  <c r="G7" i="4"/>
  <c r="G8" i="3"/>
  <c r="F8" i="3"/>
  <c r="I14" i="4"/>
  <c r="I23" i="4"/>
  <c r="F13" i="3"/>
  <c r="A19" i="3"/>
  <c r="D17" i="3"/>
  <c r="G14" i="3"/>
  <c r="H13" i="3"/>
  <c r="F15" i="3"/>
  <c r="I12" i="3"/>
  <c r="E16" i="3"/>
  <c r="M9" i="1"/>
  <c r="I27" i="1"/>
  <c r="I28" i="1" s="1"/>
  <c r="H27" i="1"/>
  <c r="H28" i="1" s="1"/>
  <c r="L9" i="1"/>
  <c r="H11" i="2" l="1"/>
  <c r="H12" i="2" s="1"/>
  <c r="H13" i="2" s="1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I11" i="2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13" i="3"/>
  <c r="H14" i="3"/>
  <c r="E17" i="3"/>
  <c r="F16" i="3"/>
  <c r="G15" i="3"/>
  <c r="D18" i="3"/>
  <c r="A20" i="3"/>
  <c r="J28" i="1"/>
  <c r="J27" i="1"/>
  <c r="I33" i="2" l="1"/>
  <c r="H33" i="2"/>
  <c r="H15" i="3"/>
  <c r="I14" i="3"/>
  <c r="E18" i="3"/>
  <c r="D19" i="3"/>
  <c r="F17" i="3"/>
  <c r="G16" i="3"/>
  <c r="A21" i="3"/>
  <c r="H16" i="3" l="1"/>
  <c r="E19" i="3"/>
  <c r="G17" i="3"/>
  <c r="F18" i="3"/>
  <c r="D20" i="3"/>
  <c r="I15" i="3"/>
  <c r="A22" i="3"/>
  <c r="D21" i="3" l="1"/>
  <c r="F19" i="3"/>
  <c r="G18" i="3"/>
  <c r="E20" i="3"/>
  <c r="H17" i="3"/>
  <c r="I16" i="3"/>
  <c r="A23" i="3"/>
  <c r="D22" i="3" l="1"/>
  <c r="F20" i="3"/>
  <c r="H18" i="3"/>
  <c r="G19" i="3"/>
  <c r="I17" i="3"/>
  <c r="E21" i="3"/>
  <c r="A24" i="3"/>
  <c r="E22" i="3" l="1"/>
  <c r="H19" i="3"/>
  <c r="G20" i="3"/>
  <c r="I18" i="3"/>
  <c r="F21" i="3"/>
  <c r="D23" i="3"/>
  <c r="A25" i="3"/>
  <c r="I19" i="3" l="1"/>
  <c r="H20" i="3"/>
  <c r="F22" i="3"/>
  <c r="G21" i="3"/>
  <c r="D24" i="3"/>
  <c r="E23" i="3"/>
  <c r="A26" i="3"/>
  <c r="F23" i="3" l="1"/>
  <c r="E24" i="3"/>
  <c r="G22" i="3"/>
  <c r="I20" i="3"/>
  <c r="H21" i="3"/>
  <c r="A27" i="3"/>
  <c r="I21" i="3" l="1"/>
  <c r="H22" i="3"/>
  <c r="G23" i="3"/>
  <c r="F24" i="3"/>
  <c r="A28" i="3"/>
  <c r="I22" i="3" l="1"/>
  <c r="H23" i="3"/>
  <c r="G24" i="3"/>
  <c r="A29" i="3"/>
  <c r="I23" i="3" l="1"/>
  <c r="H24" i="3"/>
  <c r="I24" i="3"/>
</calcChain>
</file>

<file path=xl/sharedStrings.xml><?xml version="1.0" encoding="utf-8"?>
<sst xmlns="http://schemas.openxmlformats.org/spreadsheetml/2006/main" count="71" uniqueCount="46">
  <si>
    <t>Avg</t>
  </si>
  <si>
    <t>Discount Rate</t>
  </si>
  <si>
    <t>$/MWh</t>
  </si>
  <si>
    <t>East</t>
  </si>
  <si>
    <t>West</t>
  </si>
  <si>
    <t>Wind (21IRP)</t>
  </si>
  <si>
    <t>Solar (21IRP)</t>
  </si>
  <si>
    <t>Wind 2021 FRS</t>
  </si>
  <si>
    <t>Solar 2021 FRS</t>
  </si>
  <si>
    <t>Study Period</t>
  </si>
  <si>
    <t>2023-2040</t>
  </si>
  <si>
    <t>Flexible Resource Cost</t>
  </si>
  <si>
    <t>$/kw-yr</t>
  </si>
  <si>
    <t>2021 IRP Wind and Solar Integration Costs</t>
  </si>
  <si>
    <t>Wind (23IRP)</t>
  </si>
  <si>
    <t>Solar (23IRP)</t>
  </si>
  <si>
    <t>(2022$)</t>
  </si>
  <si>
    <t>Wind 2023 FRS</t>
  </si>
  <si>
    <t>Solar 2023 FRS</t>
  </si>
  <si>
    <t>2025-2042</t>
  </si>
  <si>
    <t>Inflation</t>
  </si>
  <si>
    <t>Flat Reserve $/MWh</t>
  </si>
  <si>
    <t>2025-2040</t>
  </si>
  <si>
    <t>Levelized (2022$)</t>
  </si>
  <si>
    <t>Table F.2 - 2023 Flexible Resource Costs as Compared to 2021 Costs, $/MWh</t>
  </si>
  <si>
    <t>Wind</t>
  </si>
  <si>
    <t>Solar</t>
  </si>
  <si>
    <t>PAC-E-20-14</t>
  </si>
  <si>
    <t>SAR General Inflation Rate:</t>
  </si>
  <si>
    <t>2023 IRP</t>
  </si>
  <si>
    <t>Approved</t>
  </si>
  <si>
    <t>SAR RATEPAYER DISCOUNT RATE (%):</t>
  </si>
  <si>
    <t>20 year nominal levelized (2024-2043)</t>
  </si>
  <si>
    <t>(nominal)</t>
  </si>
  <si>
    <t>\2023 IRP May 31 Data Disk (Public)\Chapters &amp; Inputs\Appendix F - Flexible Reserve Study\(P)-Fig F11 23IRP Wind Solar Integration.xlsx</t>
  </si>
  <si>
    <t>Source:</t>
  </si>
  <si>
    <t>Contract Length</t>
  </si>
  <si>
    <t>Year</t>
  </si>
  <si>
    <t>Online Year</t>
  </si>
  <si>
    <t>Levelized Rates</t>
  </si>
  <si>
    <t xml:space="preserve">Non-Levelized Rates </t>
  </si>
  <si>
    <t>SAR Approved PCP WACC</t>
  </si>
  <si>
    <t>Table 1. Wind Integration Charges</t>
  </si>
  <si>
    <t>Table 2. Solar Integration Charges</t>
  </si>
  <si>
    <t>Real-Levelized for Comparison</t>
  </si>
  <si>
    <t>Proposed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</si>
</sst>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3" formatCode="_(* #,##0.00_);_(* \(#,##0.00\);_(* &quot;-&quot;??_);_(@_)"/>
    <numFmt numFmtId="164" formatCode="_(* #,##0_);[Red]_(* \(#,##0\);_(* &quot;-&quot;_);_(@_)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DB4E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43" fontId="0" fillId="0" borderId="0" xfId="0" applyNumberFormat="1"/>
    <xf numFmtId="10" fontId="0" fillId="0" borderId="0" xfId="0" applyNumberFormat="1"/>
    <xf numFmtId="0" fontId="2" fillId="0" borderId="0" xfId="2" applyNumberFormat="1"/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43" fontId="0" fillId="0" borderId="0" xfId="1" applyFont="1"/>
    <xf numFmtId="8" fontId="4" fillId="0" borderId="4" xfId="0" applyNumberFormat="1" applyFont="1" applyBorder="1" applyAlignment="1">
      <alignment horizontal="center" vertical="center"/>
    </xf>
    <xf numFmtId="8" fontId="0" fillId="0" borderId="0" xfId="0" applyNumberFormat="1"/>
    <xf numFmtId="43" fontId="2" fillId="0" borderId="0" xfId="2" applyNumberFormat="1" applyAlignment="1">
      <alignment horizontal="center"/>
    </xf>
    <xf numFmtId="0" fontId="0" fillId="0" borderId="0" xfId="0" applyAlignment="1">
      <alignment horizontal="right"/>
    </xf>
    <xf numFmtId="165" fontId="0" fillId="0" borderId="0" xfId="0" applyNumberFormat="1"/>
    <xf numFmtId="165" fontId="0" fillId="0" borderId="0" xfId="1" applyNumberFormat="1" applyFont="1"/>
    <xf numFmtId="9" fontId="0" fillId="0" borderId="0" xfId="3" applyFont="1"/>
    <xf numFmtId="10" fontId="0" fillId="0" borderId="0" xfId="3" applyNumberFormat="1" applyFont="1"/>
    <xf numFmtId="165" fontId="5" fillId="0" borderId="5" xfId="1" applyNumberFormat="1" applyFont="1" applyBorder="1"/>
    <xf numFmtId="165" fontId="5" fillId="0" borderId="6" xfId="1" applyNumberFormat="1" applyFont="1" applyBorder="1"/>
    <xf numFmtId="165" fontId="6" fillId="0" borderId="5" xfId="1" applyNumberFormat="1" applyFont="1" applyBorder="1"/>
    <xf numFmtId="165" fontId="6" fillId="0" borderId="6" xfId="1" applyNumberFormat="1" applyFont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 applyAlignment="1">
      <alignment horizontal="center"/>
    </xf>
    <xf numFmtId="2" fontId="0" fillId="3" borderId="7" xfId="1" applyNumberFormat="1" applyFont="1" applyFill="1" applyBorder="1" applyAlignment="1">
      <alignment horizontal="center"/>
    </xf>
    <xf numFmtId="0" fontId="0" fillId="3" borderId="11" xfId="0" applyFill="1" applyBorder="1"/>
    <xf numFmtId="0" fontId="0" fillId="3" borderId="0" xfId="0" applyFill="1"/>
    <xf numFmtId="0" fontId="0" fillId="3" borderId="12" xfId="0" applyFill="1" applyBorder="1"/>
    <xf numFmtId="0" fontId="0" fillId="3" borderId="13" xfId="0" applyFill="1" applyBorder="1" applyAlignment="1">
      <alignment horizontal="center"/>
    </xf>
    <xf numFmtId="2" fontId="0" fillId="3" borderId="11" xfId="1" applyNumberFormat="1" applyFont="1" applyFill="1" applyBorder="1" applyAlignment="1">
      <alignment horizontal="center"/>
    </xf>
    <xf numFmtId="8" fontId="0" fillId="3" borderId="11" xfId="0" applyNumberFormat="1" applyFill="1" applyBorder="1"/>
    <xf numFmtId="8" fontId="0" fillId="3" borderId="0" xfId="0" applyNumberFormat="1" applyFill="1"/>
    <xf numFmtId="8" fontId="0" fillId="3" borderId="12" xfId="0" applyNumberFormat="1" applyFill="1" applyBorder="1"/>
    <xf numFmtId="8" fontId="0" fillId="3" borderId="14" xfId="0" applyNumberFormat="1" applyFill="1" applyBorder="1"/>
    <xf numFmtId="8" fontId="0" fillId="3" borderId="15" xfId="0" applyNumberFormat="1" applyFill="1" applyBorder="1"/>
    <xf numFmtId="8" fontId="0" fillId="3" borderId="16" xfId="0" applyNumberFormat="1" applyFill="1" applyBorder="1"/>
    <xf numFmtId="0" fontId="0" fillId="3" borderId="17" xfId="0" applyFill="1" applyBorder="1" applyAlignment="1">
      <alignment horizontal="center"/>
    </xf>
    <xf numFmtId="2" fontId="0" fillId="3" borderId="14" xfId="1" applyNumberFormat="1" applyFont="1" applyFill="1" applyBorder="1" applyAlignment="1">
      <alignment horizontal="center"/>
    </xf>
    <xf numFmtId="0" fontId="0" fillId="3" borderId="16" xfId="0" applyFill="1" applyBorder="1"/>
    <xf numFmtId="0" fontId="0" fillId="3" borderId="10" xfId="0" applyFill="1" applyBorder="1" applyAlignment="1">
      <alignment horizontal="center" wrapText="1"/>
    </xf>
    <xf numFmtId="0" fontId="0" fillId="3" borderId="8" xfId="0" applyFill="1" applyBorder="1" applyAlignment="1">
      <alignment horizontal="center"/>
    </xf>
    <xf numFmtId="0" fontId="0" fillId="3" borderId="17" xfId="0" applyFill="1" applyBorder="1" applyAlignment="1">
      <alignment horizontal="center" wrapText="1"/>
    </xf>
    <xf numFmtId="0" fontId="0" fillId="3" borderId="15" xfId="0" applyFill="1" applyBorder="1" applyAlignment="1">
      <alignment horizontal="center" wrapText="1"/>
    </xf>
    <xf numFmtId="0" fontId="7" fillId="3" borderId="0" xfId="0" applyFont="1" applyFill="1"/>
    <xf numFmtId="0" fontId="0" fillId="3" borderId="15" xfId="0" applyFill="1" applyBorder="1" applyAlignment="1">
      <alignment horizontal="center"/>
    </xf>
    <xf numFmtId="0" fontId="0" fillId="3" borderId="14" xfId="0" applyFill="1" applyBorder="1" applyAlignment="1">
      <alignment horizontal="center"/>
    </xf>
  </cellXfs>
  <cellStyles count="4">
    <cellStyle name="Comma" xfId="1" builtinId="3"/>
    <cellStyle name="Normal" xfId="0" builtinId="0"/>
    <cellStyle name="Normal_WY AC 2009 - AC Study (Wind Study)_2009 08 11" xfId="2" xr:uid="{437FE7B9-D895-4838-A26C-4493737AF281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2363423612296"/>
          <c:y val="5.0925925925925923E-2"/>
          <c:w val="0.81551907559542669"/>
          <c:h val="0.75159059040409493"/>
        </c:manualLayout>
      </c:layout>
      <c:lineChart>
        <c:grouping val="standard"/>
        <c:varyColors val="0"/>
        <c:ser>
          <c:idx val="2"/>
          <c:order val="0"/>
          <c:tx>
            <c:strRef>
              <c:f>'23 IRP Summary'!$B$5</c:f>
              <c:strCache>
                <c:ptCount val="1"/>
                <c:pt idx="0">
                  <c:v>Wind (21IRP)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'23 IRP Summary'!$A$6:$A$25</c:f>
              <c:numCache>
                <c:formatCode>General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f>'23 IRP Summary'!$B$6:$B$25</c:f>
              <c:numCache>
                <c:formatCode>_(* #,##0.00_);_(* \(#,##0.00\);_(* "-"??_);_(@_)</c:formatCode>
                <c:ptCount val="20"/>
                <c:pt idx="0">
                  <c:v>2.3492273456020167</c:v>
                </c:pt>
                <c:pt idx="1">
                  <c:v>2.0253231680280233</c:v>
                </c:pt>
                <c:pt idx="2">
                  <c:v>2.7167488888448013</c:v>
                </c:pt>
                <c:pt idx="3">
                  <c:v>2.8777996216025543</c:v>
                </c:pt>
                <c:pt idx="4">
                  <c:v>3.2796133388942095</c:v>
                </c:pt>
                <c:pt idx="5">
                  <c:v>3.439350241235116</c:v>
                </c:pt>
                <c:pt idx="6">
                  <c:v>1.7981748724531614</c:v>
                </c:pt>
                <c:pt idx="7">
                  <c:v>1.6492028069018589</c:v>
                </c:pt>
                <c:pt idx="8">
                  <c:v>0.49668813626283759</c:v>
                </c:pt>
                <c:pt idx="9">
                  <c:v>0.65628490288989527</c:v>
                </c:pt>
                <c:pt idx="10">
                  <c:v>0.17589533658691367</c:v>
                </c:pt>
                <c:pt idx="11">
                  <c:v>0.12894027104083028</c:v>
                </c:pt>
                <c:pt idx="12">
                  <c:v>0.17271540358688844</c:v>
                </c:pt>
                <c:pt idx="13">
                  <c:v>0.14864264669746666</c:v>
                </c:pt>
                <c:pt idx="14">
                  <c:v>3.3116424447450082E-2</c:v>
                </c:pt>
                <c:pt idx="15">
                  <c:v>3.1130664913518614E-2</c:v>
                </c:pt>
                <c:pt idx="16">
                  <c:v>3.3350167824736821E-2</c:v>
                </c:pt>
                <c:pt idx="17">
                  <c:v>0.14199341904899868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74-49F9-8B24-913D50B42C7B}"/>
            </c:ext>
          </c:extLst>
        </c:ser>
        <c:ser>
          <c:idx val="4"/>
          <c:order val="1"/>
          <c:tx>
            <c:strRef>
              <c:f>'23 IRP Summary'!$C$5</c:f>
              <c:strCache>
                <c:ptCount val="1"/>
                <c:pt idx="0">
                  <c:v>Solar (21IRP)</c:v>
                </c:pt>
              </c:strCache>
            </c:strRef>
          </c:tx>
          <c:spPr>
            <a:ln w="28575" cap="rnd">
              <a:solidFill>
                <a:srgbClr val="FFC00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'23 IRP Summary'!$A$6:$A$25</c:f>
              <c:numCache>
                <c:formatCode>General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f>'23 IRP Summary'!$C$6:$C$25</c:f>
              <c:numCache>
                <c:formatCode>_(* #,##0.00_);_(* \(#,##0.00\);_(* "-"??_);_(@_)</c:formatCode>
                <c:ptCount val="20"/>
                <c:pt idx="0">
                  <c:v>6.0697413405614018</c:v>
                </c:pt>
                <c:pt idx="1">
                  <c:v>1.921229360613343</c:v>
                </c:pt>
                <c:pt idx="2">
                  <c:v>1.2174339530491534</c:v>
                </c:pt>
                <c:pt idx="3">
                  <c:v>0.91276591166633181</c:v>
                </c:pt>
                <c:pt idx="4">
                  <c:v>2.3703825092023694</c:v>
                </c:pt>
                <c:pt idx="5">
                  <c:v>2.323486472705794</c:v>
                </c:pt>
                <c:pt idx="6">
                  <c:v>0.39908886513878433</c:v>
                </c:pt>
                <c:pt idx="7">
                  <c:v>0.54320120160484764</c:v>
                </c:pt>
                <c:pt idx="8">
                  <c:v>0.20333623244357069</c:v>
                </c:pt>
                <c:pt idx="9">
                  <c:v>0.26777701114236585</c:v>
                </c:pt>
                <c:pt idx="10">
                  <c:v>0.11559477579826567</c:v>
                </c:pt>
                <c:pt idx="11">
                  <c:v>0.11571003139097054</c:v>
                </c:pt>
                <c:pt idx="12">
                  <c:v>0.13022140944328695</c:v>
                </c:pt>
                <c:pt idx="13">
                  <c:v>0.12045160154575105</c:v>
                </c:pt>
                <c:pt idx="14">
                  <c:v>4.7554866692976844E-2</c:v>
                </c:pt>
                <c:pt idx="15">
                  <c:v>4.618908398217593E-2</c:v>
                </c:pt>
                <c:pt idx="16">
                  <c:v>4.8060153623239496E-2</c:v>
                </c:pt>
                <c:pt idx="17">
                  <c:v>0.34724723176965139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D74-49F9-8B24-913D50B42C7B}"/>
            </c:ext>
          </c:extLst>
        </c:ser>
        <c:ser>
          <c:idx val="5"/>
          <c:order val="2"/>
          <c:tx>
            <c:strRef>
              <c:f>'23 IRP Summary'!$E$5</c:f>
              <c:strCache>
                <c:ptCount val="1"/>
                <c:pt idx="0">
                  <c:v>Wind (23IRP)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'23 IRP Summary'!$A$6:$A$25</c:f>
              <c:numCache>
                <c:formatCode>General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f>'23 IRP Summary'!$E$6:$E$25</c:f>
              <c:numCache>
                <c:formatCode>_(* #,##0.00_);_(* \(#,##0.00\);_(* "-"??_);_(@_)</c:formatCode>
                <c:ptCount val="20"/>
                <c:pt idx="2">
                  <c:v>5.6364889281528976</c:v>
                </c:pt>
                <c:pt idx="3">
                  <c:v>3.5119450498647748</c:v>
                </c:pt>
                <c:pt idx="4">
                  <c:v>2.2621123675385832</c:v>
                </c:pt>
                <c:pt idx="5">
                  <c:v>0.453777635343868</c:v>
                </c:pt>
                <c:pt idx="6">
                  <c:v>0.35907830585448569</c:v>
                </c:pt>
                <c:pt idx="7">
                  <c:v>0.2650844441510759</c:v>
                </c:pt>
                <c:pt idx="8">
                  <c:v>0.26910450682569392</c:v>
                </c:pt>
                <c:pt idx="9">
                  <c:v>0.20800050461901834</c:v>
                </c:pt>
                <c:pt idx="10">
                  <c:v>0.1370792701787486</c:v>
                </c:pt>
                <c:pt idx="11">
                  <c:v>0.13790506017944884</c:v>
                </c:pt>
                <c:pt idx="12">
                  <c:v>0.25768319971709897</c:v>
                </c:pt>
                <c:pt idx="13">
                  <c:v>0.39283226790195386</c:v>
                </c:pt>
                <c:pt idx="14">
                  <c:v>0.23857145443788996</c:v>
                </c:pt>
                <c:pt idx="15">
                  <c:v>0.29111366385339038</c:v>
                </c:pt>
                <c:pt idx="16">
                  <c:v>0.3448337163193308</c:v>
                </c:pt>
                <c:pt idx="17">
                  <c:v>0.35912531200253905</c:v>
                </c:pt>
                <c:pt idx="18">
                  <c:v>0.67099784610394708</c:v>
                </c:pt>
                <c:pt idx="19">
                  <c:v>0.81171929115624897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D74-49F9-8B24-913D50B42C7B}"/>
            </c:ext>
          </c:extLst>
        </c:ser>
        <c:ser>
          <c:idx val="0"/>
          <c:order val="3"/>
          <c:tx>
            <c:strRef>
              <c:f>'23 IRP Summary'!$F$5</c:f>
              <c:strCache>
                <c:ptCount val="1"/>
                <c:pt idx="0">
                  <c:v>Solar (23IRP)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'23 IRP Summary'!$A$6:$A$25</c:f>
              <c:numCache>
                <c:formatCode>General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f>'23 IRP Summary'!$F$6:$F$25</c:f>
              <c:numCache>
                <c:formatCode>_(* #,##0.00_);_(* \(#,##0.00\);_(* "-"??_);_(@_)</c:formatCode>
                <c:ptCount val="20"/>
                <c:pt idx="2">
                  <c:v>3.847100701208106</c:v>
                </c:pt>
                <c:pt idx="3">
                  <c:v>4.7977833918832271</c:v>
                </c:pt>
                <c:pt idx="4">
                  <c:v>3.4835553508973507</c:v>
                </c:pt>
                <c:pt idx="5">
                  <c:v>0.64102975721880573</c:v>
                </c:pt>
                <c:pt idx="6">
                  <c:v>0.66970465653973077</c:v>
                </c:pt>
                <c:pt idx="7">
                  <c:v>0.77147662156335917</c:v>
                </c:pt>
                <c:pt idx="8">
                  <c:v>0.70056276923674043</c:v>
                </c:pt>
                <c:pt idx="9">
                  <c:v>0.71817731220036396</c:v>
                </c:pt>
                <c:pt idx="10">
                  <c:v>0.46282930420438961</c:v>
                </c:pt>
                <c:pt idx="11">
                  <c:v>0.42518933024967454</c:v>
                </c:pt>
                <c:pt idx="12">
                  <c:v>0.58293364569073525</c:v>
                </c:pt>
                <c:pt idx="13">
                  <c:v>0.8086744711462559</c:v>
                </c:pt>
                <c:pt idx="14">
                  <c:v>0.45027810295181148</c:v>
                </c:pt>
                <c:pt idx="15">
                  <c:v>0.48907466195582394</c:v>
                </c:pt>
                <c:pt idx="16">
                  <c:v>0.58981523081982667</c:v>
                </c:pt>
                <c:pt idx="17">
                  <c:v>0.70242054105444696</c:v>
                </c:pt>
                <c:pt idx="18">
                  <c:v>1.1566224355719614</c:v>
                </c:pt>
                <c:pt idx="19">
                  <c:v>1.2971094931648595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BE-4823-A674-84F96B6C9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2166816"/>
        <c:axId val="1032157664"/>
      </c:lineChart>
      <c:catAx>
        <c:axId val="1032166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2157664"/>
        <c:crosses val="autoZero"/>
        <c:auto val="1"/>
        <c:lblAlgn val="ctr"/>
        <c:lblOffset val="100"/>
        <c:noMultiLvlLbl val="0"/>
      </c:catAx>
      <c:valAx>
        <c:axId val="1032157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ysClr val="windowText" lastClr="000000"/>
                    </a:solidFill>
                  </a:rPr>
                  <a:t>Integration Cost ($/MWh)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2166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9806666301898614"/>
          <c:y val="4.8788333410986352E-2"/>
          <c:w val="0.4019333369810138"/>
          <c:h val="0.422326148625361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6350</xdr:colOff>
      <xdr:row>9</xdr:row>
      <xdr:rowOff>139700</xdr:rowOff>
    </xdr:from>
    <xdr:to>
      <xdr:col>17</xdr:col>
      <xdr:colOff>73025</xdr:colOff>
      <xdr:row>24</xdr:row>
      <xdr:rowOff>111125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17548AE-B06D-43F3-B978-0A8BCB9477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23%20IRP\1%20-%20Document\DATA%20DISCS\_May%2031st%20Final%20Filing\2023%20IRP%20Supplemental%20Data%20Disk%20(Confidential)\UNCLEANED\App%20F%20CONF\CONF%20App%20F%2023IRP%20Integration%20Cost%20ST19562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urly"/>
      <sheetName val="Annual"/>
    </sheetNames>
    <sheetDataSet>
      <sheetData sheetId="0" refreshError="1"/>
      <sheetData sheetId="1">
        <row r="6">
          <cell r="M6">
            <v>5.6364889281528976</v>
          </cell>
          <cell r="N6">
            <v>3.847100701208106</v>
          </cell>
          <cell r="P6">
            <v>18.020375654578618</v>
          </cell>
          <cell r="Q6">
            <v>18.373101917425487</v>
          </cell>
        </row>
        <row r="7">
          <cell r="M7">
            <v>3.5119450498647748</v>
          </cell>
          <cell r="N7">
            <v>4.7977833918832271</v>
          </cell>
          <cell r="P7">
            <v>19.868554098439532</v>
          </cell>
          <cell r="Q7">
            <v>13.524112259852171</v>
          </cell>
        </row>
        <row r="8">
          <cell r="M8">
            <v>2.2621123675385832</v>
          </cell>
          <cell r="N8">
            <v>3.4835553508973507</v>
          </cell>
          <cell r="P8">
            <v>15.440703065159514</v>
          </cell>
          <cell r="Q8">
            <v>11.962021054624367</v>
          </cell>
        </row>
        <row r="9">
          <cell r="M9">
            <v>0.453777635343868</v>
          </cell>
          <cell r="N9">
            <v>0.64102975721880573</v>
          </cell>
          <cell r="P9">
            <v>12.915589307300207</v>
          </cell>
          <cell r="Q9">
            <v>6.7103767552553197</v>
          </cell>
        </row>
        <row r="10">
          <cell r="M10">
            <v>0.35907830585448569</v>
          </cell>
          <cell r="N10">
            <v>0.66970465653973077</v>
          </cell>
          <cell r="P10">
            <v>14.391840444904691</v>
          </cell>
          <cell r="Q10">
            <v>7.8814713478750491</v>
          </cell>
        </row>
        <row r="11">
          <cell r="M11">
            <v>0.2650844441510759</v>
          </cell>
          <cell r="N11">
            <v>0.77147662156335917</v>
          </cell>
          <cell r="P11">
            <v>13.180179070474768</v>
          </cell>
          <cell r="Q11">
            <v>6.1535798677454672</v>
          </cell>
        </row>
        <row r="12">
          <cell r="M12">
            <v>0.26910450682569392</v>
          </cell>
          <cell r="N12">
            <v>0.70056276923674043</v>
          </cell>
          <cell r="P12">
            <v>12.78448711660516</v>
          </cell>
          <cell r="Q12">
            <v>5.4776646680302701</v>
          </cell>
        </row>
        <row r="13">
          <cell r="M13">
            <v>0.20800050461901834</v>
          </cell>
          <cell r="N13">
            <v>0.71817731220036396</v>
          </cell>
          <cell r="P13">
            <v>15.018098925208664</v>
          </cell>
          <cell r="Q13">
            <v>4.660242360971691</v>
          </cell>
        </row>
        <row r="14">
          <cell r="M14">
            <v>0.1370792701787486</v>
          </cell>
          <cell r="N14">
            <v>0.46282930420438961</v>
          </cell>
          <cell r="P14">
            <v>12.747096585737124</v>
          </cell>
          <cell r="Q14">
            <v>4.9117016893185195</v>
          </cell>
        </row>
        <row r="15">
          <cell r="M15">
            <v>0.13790506017944884</v>
          </cell>
          <cell r="N15">
            <v>0.42518933024967454</v>
          </cell>
          <cell r="P15">
            <v>11.395885959862744</v>
          </cell>
          <cell r="Q15">
            <v>5.868436119328412</v>
          </cell>
        </row>
        <row r="16">
          <cell r="M16">
            <v>0.25768319971709897</v>
          </cell>
          <cell r="N16">
            <v>0.58293364569073525</v>
          </cell>
          <cell r="P16">
            <v>11.758375034996988</v>
          </cell>
          <cell r="Q16">
            <v>6.6052172539484886</v>
          </cell>
        </row>
        <row r="17">
          <cell r="M17">
            <v>0.39283226790195386</v>
          </cell>
          <cell r="N17">
            <v>0.8086744711462559</v>
          </cell>
          <cell r="P17">
            <v>11.529385924952573</v>
          </cell>
          <cell r="Q17">
            <v>6.0314244358701448</v>
          </cell>
        </row>
        <row r="18">
          <cell r="M18">
            <v>0.23857145443788996</v>
          </cell>
          <cell r="N18">
            <v>0.45027810295181148</v>
          </cell>
          <cell r="P18">
            <v>9.8823600041195583</v>
          </cell>
          <cell r="Q18">
            <v>6.4991754382992264</v>
          </cell>
        </row>
        <row r="19">
          <cell r="M19">
            <v>0.29111366385339038</v>
          </cell>
          <cell r="N19">
            <v>0.48907466195582394</v>
          </cell>
          <cell r="P19">
            <v>12.006998554210728</v>
          </cell>
          <cell r="Q19">
            <v>9.1289963635333962</v>
          </cell>
        </row>
        <row r="20">
          <cell r="M20">
            <v>0.3448337163193308</v>
          </cell>
          <cell r="N20">
            <v>0.58981523081982667</v>
          </cell>
          <cell r="P20">
            <v>10.433260733466794</v>
          </cell>
          <cell r="Q20">
            <v>6.9827189733491881</v>
          </cell>
        </row>
        <row r="21">
          <cell r="M21">
            <v>0.35912531200253905</v>
          </cell>
          <cell r="N21">
            <v>0.70242054105444696</v>
          </cell>
          <cell r="P21">
            <v>11.434237033609136</v>
          </cell>
          <cell r="Q21">
            <v>8.4338575000220608</v>
          </cell>
        </row>
        <row r="22">
          <cell r="M22">
            <v>0.67099784610394708</v>
          </cell>
          <cell r="N22">
            <v>1.1566224355719614</v>
          </cell>
          <cell r="P22">
            <v>17.138187072556608</v>
          </cell>
          <cell r="Q22">
            <v>13.46058332513498</v>
          </cell>
        </row>
        <row r="23">
          <cell r="M23">
            <v>0.81171929115624897</v>
          </cell>
          <cell r="N23">
            <v>1.2971094931648595</v>
          </cell>
          <cell r="P23">
            <v>16.513322489820368</v>
          </cell>
          <cell r="Q23">
            <v>13.143016713759721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C54D4-75A3-43F2-8389-7E460DAA1A78}">
  <sheetPr>
    <pageSetUpPr fitToPage="1"/>
  </sheetPr>
  <dimension ref="A1:L29"/>
  <sheetViews>
    <sheetView tabSelected="1" workbookViewId="0"/>
  </sheetViews>
  <sheetFormatPr defaultRowHeight="15" x14ac:dyDescent="0.25"/>
  <cols>
    <col min="2" max="2" width="20.7109375" customWidth="1"/>
    <col min="3" max="3" width="15" customWidth="1"/>
  </cols>
  <sheetData>
    <row r="1" spans="1:12" x14ac:dyDescent="0.25">
      <c r="A1" s="46" t="s">
        <v>42</v>
      </c>
      <c r="B1" s="29"/>
      <c r="C1" s="29"/>
      <c r="D1" s="29"/>
      <c r="E1" s="29"/>
      <c r="F1" s="29"/>
      <c r="G1" s="29"/>
      <c r="H1" s="29"/>
      <c r="I1" s="29"/>
      <c r="K1" s="18">
        <v>7.9799999999999996E-2</v>
      </c>
      <c r="L1" t="s">
        <v>41</v>
      </c>
    </row>
    <row r="2" spans="1:12" ht="6.75" customHeight="1" x14ac:dyDescent="0.25">
      <c r="A2" s="46"/>
      <c r="B2" s="29"/>
      <c r="C2" s="29"/>
      <c r="D2" s="29"/>
      <c r="E2" s="29"/>
      <c r="F2" s="29"/>
      <c r="G2" s="29"/>
      <c r="H2" s="29"/>
      <c r="I2" s="29"/>
      <c r="K2" s="18"/>
    </row>
    <row r="3" spans="1:12" x14ac:dyDescent="0.25">
      <c r="A3" s="41"/>
      <c r="B3" s="45" t="s">
        <v>40</v>
      </c>
      <c r="C3" s="44" t="s">
        <v>39</v>
      </c>
      <c r="D3" s="47" t="s">
        <v>38</v>
      </c>
      <c r="E3" s="47"/>
      <c r="F3" s="47"/>
      <c r="G3" s="47"/>
      <c r="H3" s="47"/>
      <c r="I3" s="48"/>
    </row>
    <row r="4" spans="1:12" x14ac:dyDescent="0.25">
      <c r="A4" s="25" t="s">
        <v>37</v>
      </c>
      <c r="B4" s="43" t="s">
        <v>2</v>
      </c>
      <c r="C4" s="42" t="s">
        <v>36</v>
      </c>
      <c r="D4" s="24">
        <f>A5</f>
        <v>2024</v>
      </c>
      <c r="E4" s="24">
        <f t="shared" ref="E4:I4" si="0">D4+1</f>
        <v>2025</v>
      </c>
      <c r="F4" s="24">
        <f t="shared" si="0"/>
        <v>2026</v>
      </c>
      <c r="G4" s="24">
        <f t="shared" si="0"/>
        <v>2027</v>
      </c>
      <c r="H4" s="24">
        <f t="shared" si="0"/>
        <v>2028</v>
      </c>
      <c r="I4" s="23">
        <f t="shared" si="0"/>
        <v>2029</v>
      </c>
    </row>
    <row r="5" spans="1:12" x14ac:dyDescent="0.25">
      <c r="A5" s="41">
        <v>2024</v>
      </c>
      <c r="B5" s="40">
        <f>'ID Integration'!E10</f>
        <v>2.0253231680280233</v>
      </c>
      <c r="C5" s="39">
        <v>1</v>
      </c>
      <c r="D5" s="38">
        <f>-PMT($K$1,$C5,NPV($K$1,$B$5:$B5))</f>
        <v>2.0253231680280237</v>
      </c>
      <c r="E5" s="37">
        <f>-PMT($K$1,$C5,NPV($K$1,$B$6:$B6))</f>
        <v>5.6364889281528985</v>
      </c>
      <c r="F5" s="37">
        <f>-PMT($K$1,$C5,NPV($K$1,$B$7:$B7))</f>
        <v>3.5119450498647753</v>
      </c>
      <c r="G5" s="37">
        <f>-PMT($K$1,$C5,NPV($K$1,$B$8:$B8))</f>
        <v>2.2621123675385832</v>
      </c>
      <c r="H5" s="37">
        <f>-PMT($K$1,$C5,NPV($K$1,$B$9:$B9))</f>
        <v>0.45377763534386806</v>
      </c>
      <c r="I5" s="36">
        <f>-PMT($K$1,$C5,NPV($K$1,$B$10:$B10))</f>
        <v>0.3590783058544858</v>
      </c>
    </row>
    <row r="6" spans="1:12" x14ac:dyDescent="0.25">
      <c r="A6" s="30">
        <f>A5+1</f>
        <v>2025</v>
      </c>
      <c r="B6" s="32">
        <f>'ID Integration'!E11</f>
        <v>5.6364889281528976</v>
      </c>
      <c r="C6" s="31">
        <v>2</v>
      </c>
      <c r="D6" s="35">
        <f>-PMT($K$1,$C6,NPV($K$1,$B$5:$B6))</f>
        <v>3.7616275050435415</v>
      </c>
      <c r="E6" s="34">
        <f>-PMT($K$1,$C6,NPV($K$1,$B$6:$B7))</f>
        <v>4.6149753795962472</v>
      </c>
      <c r="F6" s="34">
        <f>-PMT($K$1,$C6,NPV($K$1,$B$7:$B8))</f>
        <v>2.9110061700079659</v>
      </c>
      <c r="G6" s="34">
        <f>-PMT($K$1,$C6,NPV($K$1,$B$8:$B9))</f>
        <v>1.3926370659736658</v>
      </c>
      <c r="H6" s="34">
        <f>-PMT($K$1,$C6,NPV($K$1,$B$9:$B10))</f>
        <v>0.40824473338724609</v>
      </c>
      <c r="I6" s="33">
        <f>-PMT($K$1,$C6,NPV($K$1,$B$10:$B11))</f>
        <v>0.31388460371802557</v>
      </c>
    </row>
    <row r="7" spans="1:12" x14ac:dyDescent="0.25">
      <c r="A7" s="30">
        <f t="shared" ref="A7:A29" si="1">A6+1</f>
        <v>2026</v>
      </c>
      <c r="B7" s="32">
        <f>'ID Integration'!E12</f>
        <v>3.5119450498647748</v>
      </c>
      <c r="C7" s="31">
        <v>3</v>
      </c>
      <c r="D7" s="35">
        <f>-PMT($K$1,$C7,NPV($K$1,$B$5:$B7))</f>
        <v>3.684701966279913</v>
      </c>
      <c r="E7" s="34">
        <f>-PMT($K$1,$C7,NPV($K$1,$B$6:$B8))</f>
        <v>3.8900736050203708</v>
      </c>
      <c r="F7" s="34">
        <f>-PMT($K$1,$C7,NPV($K$1,$B$7:$B9))</f>
        <v>2.1539500574386592</v>
      </c>
      <c r="G7" s="34">
        <f>-PMT($K$1,$C7,NPV($K$1,$B$8:$B10))</f>
        <v>1.0742043414591991</v>
      </c>
      <c r="H7" s="34">
        <f>-PMT($K$1,$C7,NPV($K$1,$B$9:$B11))</f>
        <v>0.36413798038706241</v>
      </c>
      <c r="I7" s="33">
        <f>-PMT($K$1,$C7,NPV($K$1,$B$10:$B12))</f>
        <v>0.30008814742771978</v>
      </c>
    </row>
    <row r="8" spans="1:12" x14ac:dyDescent="0.25">
      <c r="A8" s="30">
        <f t="shared" si="1"/>
        <v>2027</v>
      </c>
      <c r="B8" s="32">
        <f>'ID Integration'!E13</f>
        <v>2.2621123675385832</v>
      </c>
      <c r="C8" s="31">
        <v>4</v>
      </c>
      <c r="D8" s="35">
        <f>-PMT($K$1,$C8,NPV($K$1,$B$5:$B8))</f>
        <v>3.3689064125219845</v>
      </c>
      <c r="E8" s="34">
        <f>-PMT($K$1,$C8,NPV($K$1,$B$6:$B9))</f>
        <v>3.1272626090871394</v>
      </c>
      <c r="F8" s="34">
        <f>-PMT($K$1,$C8,NPV($K$1,$B$7:$B10))</f>
        <v>1.7555129261553375</v>
      </c>
      <c r="G8" s="34">
        <f>-PMT($K$1,$C8,NPV($K$1,$B$8:$B11))</f>
        <v>0.89459072256795236</v>
      </c>
      <c r="H8" s="34">
        <f>-PMT($K$1,$C8,NPV($K$1,$B$9:$B12))</f>
        <v>0.34304184103991348</v>
      </c>
      <c r="I8" s="33">
        <f>-PMT($K$1,$C8,NPV($K$1,$B$10:$B13))</f>
        <v>0.27964594246518792</v>
      </c>
    </row>
    <row r="9" spans="1:12" x14ac:dyDescent="0.25">
      <c r="A9" s="30">
        <f t="shared" si="1"/>
        <v>2028</v>
      </c>
      <c r="B9" s="32">
        <f>'ID Integration'!E14</f>
        <v>0.453777635343868</v>
      </c>
      <c r="C9" s="31">
        <v>5</v>
      </c>
      <c r="D9" s="35">
        <f>-PMT($K$1,$C9,NPV($K$1,$B$5:$B9))</f>
        <v>2.8718056901035061</v>
      </c>
      <c r="E9" s="34">
        <f>-PMT($K$1,$C9,NPV($K$1,$B$6:$B10))</f>
        <v>2.6552195118156376</v>
      </c>
      <c r="F9" s="34">
        <f>-PMT($K$1,$C9,NPV($K$1,$B$7:$B11))</f>
        <v>1.5013584335930608</v>
      </c>
      <c r="G9" s="34">
        <f>-PMT($K$1,$C9,NPV($K$1,$B$8:$B12))</f>
        <v>0.78793003157465047</v>
      </c>
      <c r="H9" s="34">
        <f>-PMT($K$1,$C9,NPV($K$1,$B$9:$B13))</f>
        <v>0.32001399183588425</v>
      </c>
      <c r="I9" s="33">
        <f>-PMT($K$1,$C9,NPV($K$1,$B$10:$B14))</f>
        <v>0.25533483952482644</v>
      </c>
    </row>
    <row r="10" spans="1:12" x14ac:dyDescent="0.25">
      <c r="A10" s="30">
        <f t="shared" si="1"/>
        <v>2029</v>
      </c>
      <c r="B10" s="32">
        <f>'ID Integration'!E15</f>
        <v>0.35907830585448569</v>
      </c>
      <c r="C10" s="31">
        <v>6</v>
      </c>
      <c r="D10" s="35">
        <f>-PMT($K$1,$C10,NPV($K$1,$B$5:$B10))</f>
        <v>2.5291094815253494</v>
      </c>
      <c r="E10" s="34">
        <f>-PMT($K$1,$C10,NPV($K$1,$B$6:$B11))</f>
        <v>2.3292429531118199</v>
      </c>
      <c r="F10" s="34">
        <f>-PMT($K$1,$C10,NPV($K$1,$B$7:$B12))</f>
        <v>1.3332985193517344</v>
      </c>
      <c r="G10" s="34">
        <f>-PMT($K$1,$C10,NPV($K$1,$B$8:$B13))</f>
        <v>0.70883683134289655</v>
      </c>
      <c r="H10" s="34">
        <f>-PMT($K$1,$C10,NPV($K$1,$B$9:$B14))</f>
        <v>0.29506459385416195</v>
      </c>
      <c r="I10" s="33">
        <f>-PMT($K$1,$C10,NPV($K$1,$B$10:$B15))</f>
        <v>0.23931927794497046</v>
      </c>
    </row>
    <row r="11" spans="1:12" x14ac:dyDescent="0.25">
      <c r="A11" s="30">
        <f t="shared" si="1"/>
        <v>2030</v>
      </c>
      <c r="B11" s="32">
        <f>'ID Integration'!E16</f>
        <v>0.2650844441510759</v>
      </c>
      <c r="C11" s="31">
        <v>7</v>
      </c>
      <c r="D11" s="35">
        <f>-PMT($K$1,$C11,NPV($K$1,$B$5:$B11))</f>
        <v>2.2752193561054974</v>
      </c>
      <c r="E11" s="34">
        <f>-PMT($K$1,$C11,NPV($K$1,$B$6:$B12))</f>
        <v>2.0982168823416592</v>
      </c>
      <c r="F11" s="34">
        <f>-PMT($K$1,$C11,NPV($K$1,$B$7:$B13))</f>
        <v>1.2071064281076616</v>
      </c>
      <c r="G11" s="34">
        <f>-PMT($K$1,$C11,NPV($K$1,$B$8:$B14))</f>
        <v>0.64471934301243661</v>
      </c>
      <c r="H11" s="34">
        <f>-PMT($K$1,$C11,NPV($K$1,$B$9:$B15))</f>
        <v>0.27744056008381357</v>
      </c>
      <c r="I11" s="33">
        <f>-PMT($K$1,$C11,NPV($K$1,$B$10:$B16))</f>
        <v>0.24137862725646633</v>
      </c>
    </row>
    <row r="12" spans="1:12" x14ac:dyDescent="0.25">
      <c r="A12" s="30">
        <f t="shared" si="1"/>
        <v>2031</v>
      </c>
      <c r="B12" s="32">
        <f>'ID Integration'!E17</f>
        <v>0.26910450682569392</v>
      </c>
      <c r="C12" s="31">
        <v>8</v>
      </c>
      <c r="D12" s="35">
        <f>-PMT($K$1,$C12,NPV($K$1,$B$5:$B12))</f>
        <v>2.0864786377891344</v>
      </c>
      <c r="E12" s="34">
        <f>-PMT($K$1,$C12,NPV($K$1,$B$6:$B13))</f>
        <v>1.9203802061250397</v>
      </c>
      <c r="F12" s="34">
        <f>-PMT($K$1,$C12,NPV($K$1,$B$7:$B14))</f>
        <v>1.1064353750630052</v>
      </c>
      <c r="G12" s="34">
        <f>-PMT($K$1,$C12,NPV($K$1,$B$8:$B15))</f>
        <v>0.59703688264421229</v>
      </c>
      <c r="H12" s="34">
        <f>-PMT($K$1,$C12,NPV($K$1,$B$9:$B16))</f>
        <v>0.27558173411032177</v>
      </c>
      <c r="I12" s="33">
        <f>-PMT($K$1,$C12,NPV($K$1,$B$10:$B17))</f>
        <v>0.25562779596050128</v>
      </c>
    </row>
    <row r="13" spans="1:12" x14ac:dyDescent="0.25">
      <c r="A13" s="30">
        <f t="shared" si="1"/>
        <v>2032</v>
      </c>
      <c r="B13" s="32">
        <f>'ID Integration'!E18</f>
        <v>0.20800050461901834</v>
      </c>
      <c r="C13" s="31">
        <v>9</v>
      </c>
      <c r="D13" s="35">
        <f>-PMT($K$1,$C13,NPV($K$1,$B$5:$B13))</f>
        <v>1.9359250014523082</v>
      </c>
      <c r="E13" s="34">
        <f>-PMT($K$1,$C13,NPV($K$1,$B$6:$B14))</f>
        <v>1.7774546985832036</v>
      </c>
      <c r="F13" s="34">
        <f>-PMT($K$1,$C13,NPV($K$1,$B$7:$B15))</f>
        <v>1.0288109629214104</v>
      </c>
      <c r="G13" s="34">
        <f>-PMT($K$1,$C13,NPV($K$1,$B$8:$B16))</f>
        <v>0.56983883861760953</v>
      </c>
      <c r="H13" s="34">
        <f>-PMT($K$1,$C13,NPV($K$1,$B$9:$B17))</f>
        <v>0.28497896579114729</v>
      </c>
      <c r="I13" s="33">
        <f>-PMT($K$1,$C13,NPV($K$1,$B$10:$B18))</f>
        <v>0.2542607881718621</v>
      </c>
    </row>
    <row r="14" spans="1:12" x14ac:dyDescent="0.25">
      <c r="A14" s="30">
        <f t="shared" si="1"/>
        <v>2033</v>
      </c>
      <c r="B14" s="32">
        <f>'ID Integration'!E19</f>
        <v>0.1370792701787486</v>
      </c>
      <c r="C14" s="31">
        <v>10</v>
      </c>
      <c r="D14" s="35">
        <f>-PMT($K$1,$C14,NPV($K$1,$B$5:$B14))</f>
        <v>1.8116336159787498</v>
      </c>
      <c r="E14" s="34">
        <f>-PMT($K$1,$C14,NPV($K$1,$B$6:$B15))</f>
        <v>1.6641698890150149</v>
      </c>
      <c r="F14" s="34">
        <f>-PMT($K$1,$C14,NPV($K$1,$B$7:$B16))</f>
        <v>0.97552983024866402</v>
      </c>
      <c r="G14" s="34">
        <f>-PMT($K$1,$C14,NPV($K$1,$B$8:$B17))</f>
        <v>0.5576085558703523</v>
      </c>
      <c r="H14" s="34">
        <f>-PMT($K$1,$C14,NPV($K$1,$B$9:$B18))</f>
        <v>0.28177243519088696</v>
      </c>
      <c r="I14" s="33">
        <f>-PMT($K$1,$C14,NPV($K$1,$B$10:$B19))</f>
        <v>0.25680714047851544</v>
      </c>
    </row>
    <row r="15" spans="1:12" x14ac:dyDescent="0.25">
      <c r="A15" s="30">
        <f t="shared" si="1"/>
        <v>2034</v>
      </c>
      <c r="B15" s="32">
        <f>'ID Integration'!E20</f>
        <v>0.13790506017944884</v>
      </c>
      <c r="C15" s="31">
        <v>11</v>
      </c>
      <c r="D15" s="35">
        <f>-PMT($K$1,$C15,NPV($K$1,$B$5:$B15))</f>
        <v>1.7109748119071779</v>
      </c>
      <c r="E15" s="34">
        <f>-PMT($K$1,$C15,NPV($K$1,$B$6:$B16))</f>
        <v>1.5795831335361956</v>
      </c>
      <c r="F15" s="34">
        <f>-PMT($K$1,$C15,NPV($K$1,$B$7:$B17))</f>
        <v>0.94048613122231284</v>
      </c>
      <c r="G15" s="34">
        <f>-PMT($K$1,$C15,NPV($K$1,$B$8:$B18))</f>
        <v>0.53842151805984162</v>
      </c>
      <c r="H15" s="34">
        <f>-PMT($K$1,$C15,NPV($K$1,$B$9:$B19))</f>
        <v>0.28233422097297733</v>
      </c>
      <c r="I15" s="33">
        <f>-PMT($K$1,$C15,NPV($K$1,$B$10:$B20))</f>
        <v>0.26210109917925623</v>
      </c>
    </row>
    <row r="16" spans="1:12" x14ac:dyDescent="0.25">
      <c r="A16" s="30">
        <f t="shared" si="1"/>
        <v>2035</v>
      </c>
      <c r="B16" s="32">
        <f>'ID Integration'!E21</f>
        <v>0.25768319971709897</v>
      </c>
      <c r="C16" s="31">
        <v>12</v>
      </c>
      <c r="D16" s="35">
        <f>-PMT($K$1,$C16,NPV($K$1,$B$5:$B16))</f>
        <v>1.6343027152846554</v>
      </c>
      <c r="E16" s="34">
        <f>-PMT($K$1,$C16,NPV($K$1,$B$6:$B17))</f>
        <v>1.5169730721599726</v>
      </c>
      <c r="F16" s="34">
        <f>-PMT($K$1,$C16,NPV($K$1,$B$7:$B18))</f>
        <v>0.90345483656144288</v>
      </c>
      <c r="G16" s="34">
        <f>-PMT($K$1,$C16,NPV($K$1,$B$8:$B19))</f>
        <v>0.52537416298383521</v>
      </c>
      <c r="H16" s="34">
        <f>-PMT($K$1,$C16,NPV($K$1,$B$9:$B20))</f>
        <v>0.28563154086793835</v>
      </c>
      <c r="I16" s="33">
        <f>-PMT($K$1,$C16,NPV($K$1,$B$10:$B21))</f>
        <v>0.26721985838622658</v>
      </c>
    </row>
    <row r="17" spans="1:9" x14ac:dyDescent="0.25">
      <c r="A17" s="30">
        <f t="shared" si="1"/>
        <v>2036</v>
      </c>
      <c r="B17" s="32">
        <f>'ID Integration'!E22</f>
        <v>0.39283226790195386</v>
      </c>
      <c r="C17" s="31">
        <v>13</v>
      </c>
      <c r="D17" s="35">
        <f>-PMT($K$1,$C17,NPV($K$1,$B$5:$B17))</f>
        <v>1.5764717181189873</v>
      </c>
      <c r="E17" s="34">
        <f>-PMT($K$1,$C17,NPV($K$1,$B$6:$B18))</f>
        <v>1.4574217228008841</v>
      </c>
      <c r="F17" s="34">
        <f>-PMT($K$1,$C17,NPV($K$1,$B$7:$B19))</f>
        <v>0.87493035521115503</v>
      </c>
      <c r="G17" s="34">
        <f>-PMT($K$1,$C17,NPV($K$1,$B$8:$B20))</f>
        <v>0.51696410853481056</v>
      </c>
      <c r="H17" s="34">
        <f>-PMT($K$1,$C17,NPV($K$1,$B$9:$B21))</f>
        <v>0.2890550763045972</v>
      </c>
      <c r="I17" s="33">
        <f>-PMT($K$1,$C17,NPV($K$1,$B$10:$B22))</f>
        <v>0.2860289115638448</v>
      </c>
    </row>
    <row r="18" spans="1:9" x14ac:dyDescent="0.25">
      <c r="A18" s="30">
        <f t="shared" si="1"/>
        <v>2037</v>
      </c>
      <c r="B18" s="32">
        <f>'ID Integration'!E23</f>
        <v>0.23857145443788996</v>
      </c>
      <c r="C18" s="31">
        <v>14</v>
      </c>
      <c r="D18" s="35">
        <f>-PMT($K$1,$C18,NPV($K$1,$B$5:$B18))</f>
        <v>1.5211415388005223</v>
      </c>
      <c r="E18" s="34">
        <f>-PMT($K$1,$C18,NPV($K$1,$B$6:$B19))</f>
        <v>1.4091879076250187</v>
      </c>
      <c r="F18" s="34">
        <f>-PMT($K$1,$C18,NPV($K$1,$B$7:$B20))</f>
        <v>0.85300768811689742</v>
      </c>
      <c r="G18" s="34">
        <f>-PMT($K$1,$C18,NPV($K$1,$B$8:$B21))</f>
        <v>0.51043653009520973</v>
      </c>
      <c r="H18" s="34">
        <f>-PMT($K$1,$C18,NPV($K$1,$B$9:$B22))</f>
        <v>0.30485069464481929</v>
      </c>
      <c r="I18" s="33">
        <f>-PMT($K$1,$C18,NPV($K$1,$B$10:$B23))</f>
        <v>0.3077693534775125</v>
      </c>
    </row>
    <row r="19" spans="1:9" x14ac:dyDescent="0.25">
      <c r="A19" s="30">
        <f t="shared" si="1"/>
        <v>2038</v>
      </c>
      <c r="B19" s="32">
        <f>'ID Integration'!E24</f>
        <v>0.29111366385339038</v>
      </c>
      <c r="C19" s="31">
        <v>15</v>
      </c>
      <c r="D19" s="35">
        <f>-PMT($K$1,$C19,NPV($K$1,$B$5:$B19))</f>
        <v>1.4757696087948857</v>
      </c>
      <c r="E19" s="34">
        <f>-PMT($K$1,$C19,NPV($K$1,$B$6:$B20))</f>
        <v>1.3699271682119358</v>
      </c>
      <c r="F19" s="34">
        <f>-PMT($K$1,$C19,NPV($K$1,$B$7:$B21))</f>
        <v>0.83478989236081258</v>
      </c>
      <c r="G19" s="34">
        <f>-PMT($K$1,$C19,NPV($K$1,$B$8:$B22))</f>
        <v>0.51635914123268034</v>
      </c>
      <c r="H19" s="34">
        <f>-PMT($K$1,$C19,NPV($K$1,$B$9:$B23))</f>
        <v>0.32354751197016673</v>
      </c>
      <c r="I19" s="33">
        <f>-PMT($K$1,$C19,NPV($K$1,$B$10:$B24))</f>
        <v>0.32695734685284167</v>
      </c>
    </row>
    <row r="20" spans="1:9" x14ac:dyDescent="0.25">
      <c r="A20" s="30">
        <f t="shared" si="1"/>
        <v>2039</v>
      </c>
      <c r="B20" s="32">
        <f>'ID Integration'!E25</f>
        <v>0.3448337163193308</v>
      </c>
      <c r="C20" s="31">
        <v>16</v>
      </c>
      <c r="D20" s="35">
        <f>-PMT($K$1,$C20,NPV($K$1,$B$5:$B20))</f>
        <v>1.4384120179453408</v>
      </c>
      <c r="E20" s="34">
        <f>-PMT($K$1,$C20,NPV($K$1,$B$6:$B21))</f>
        <v>1.3365378997083301</v>
      </c>
      <c r="F20" s="34">
        <f>-PMT($K$1,$C20,NPV($K$1,$B$7:$B22))</f>
        <v>0.82937943869214348</v>
      </c>
      <c r="G20" s="34">
        <f>-PMT($K$1,$C20,NPV($K$1,$B$8:$B23))</f>
        <v>0.52611561258310535</v>
      </c>
      <c r="H20" s="34">
        <f>-PMT($K$1,$C20,NPV($K$1,$B$9:$B24))</f>
        <v>0.34020928675313422</v>
      </c>
      <c r="I20" s="33">
        <f>-PMT($K$1,$C20,NPV($K$1,$B$10:$B25))</f>
        <v>0.34405347329181035</v>
      </c>
    </row>
    <row r="21" spans="1:9" x14ac:dyDescent="0.25">
      <c r="A21" s="30">
        <f t="shared" si="1"/>
        <v>2040</v>
      </c>
      <c r="B21" s="32">
        <f>'ID Integration'!E26</f>
        <v>0.35912531200253905</v>
      </c>
      <c r="C21" s="31">
        <v>17</v>
      </c>
      <c r="D21" s="35">
        <f>-PMT($K$1,$C21,NPV($K$1,$B$5:$B21))</f>
        <v>1.4063753073688283</v>
      </c>
      <c r="E21" s="34">
        <f>-PMT($K$1,$C21,NPV($K$1,$B$6:$B22))</f>
        <v>1.3167825242765769</v>
      </c>
      <c r="F21" s="34">
        <f>-PMT($K$1,$C21,NPV($K$1,$B$7:$B23))</f>
        <v>0.82885522855202909</v>
      </c>
      <c r="G21" s="34">
        <f>-PMT($K$1,$C21,NPV($K$1,$B$8:$B24))</f>
        <v>0.53507513988645594</v>
      </c>
      <c r="H21" s="34">
        <f>-PMT($K$1,$C21,NPV($K$1,$B$9:$B25))</f>
        <v>0.35517864014407158</v>
      </c>
      <c r="I21" s="33">
        <f>-PMT($K$1,$C21,NPV($K$1,$B$10:$B26))</f>
        <v>0.35941007607393172</v>
      </c>
    </row>
    <row r="22" spans="1:9" x14ac:dyDescent="0.25">
      <c r="A22" s="30">
        <f t="shared" si="1"/>
        <v>2041</v>
      </c>
      <c r="B22" s="32">
        <f>'ID Integration'!E27</f>
        <v>0.67099784610394708</v>
      </c>
      <c r="C22" s="31">
        <v>18</v>
      </c>
      <c r="D22" s="35">
        <f>-PMT($K$1,$C22,NPV($K$1,$B$5:$B22))</f>
        <v>1.3867009450661298</v>
      </c>
      <c r="E22" s="34">
        <f>-PMT($K$1,$C22,NPV($K$1,$B$6:$B23))</f>
        <v>1.3032700119171556</v>
      </c>
      <c r="F22" s="34">
        <f>-PMT($K$1,$C22,NPV($K$1,$B$7:$B24))</f>
        <v>0.82883110835089513</v>
      </c>
      <c r="G22" s="34">
        <f>-PMT($K$1,$C22,NPV($K$1,$B$8:$B25))</f>
        <v>0.54335386473504388</v>
      </c>
      <c r="H22" s="34">
        <f>-PMT($K$1,$C22,NPV($K$1,$B$9:$B26))</f>
        <v>0.36872221755248469</v>
      </c>
      <c r="I22" s="33">
        <f>-PMT($K$1,$C22,NPV($K$1,$B$10:$B27))</f>
        <v>0.373301366468277</v>
      </c>
    </row>
    <row r="23" spans="1:9" x14ac:dyDescent="0.25">
      <c r="A23" s="30">
        <f t="shared" si="1"/>
        <v>2042</v>
      </c>
      <c r="B23" s="32">
        <f>'ID Integration'!E28</f>
        <v>0.81171929115624897</v>
      </c>
      <c r="C23" s="31">
        <v>19</v>
      </c>
      <c r="D23" s="35">
        <f>-PMT($K$1,$C23,NPV($K$1,$B$5:$B23))</f>
        <v>1.3727991242751423</v>
      </c>
      <c r="E23" s="34">
        <f>-PMT($K$1,$C23,NPV($K$1,$B$6:$B24))</f>
        <v>1.2917778843642134</v>
      </c>
      <c r="F23" s="34">
        <f>-PMT($K$1,$C23,NPV($K$1,$B$7:$B25))</f>
        <v>0.82921025675962501</v>
      </c>
      <c r="G23" s="34">
        <f>-PMT($K$1,$C23,NPV($K$1,$B$8:$B26))</f>
        <v>0.55104360949121822</v>
      </c>
      <c r="H23" s="34">
        <f>-PMT($K$1,$C23,NPV($K$1,$B$9:$B27))</f>
        <v>0.38105071773618188</v>
      </c>
      <c r="I23" s="33">
        <f>-PMT($K$1,$C23,NPV($K$1,$B$10:$B28))</f>
        <v>0.38594402089235308</v>
      </c>
    </row>
    <row r="24" spans="1:9" x14ac:dyDescent="0.25">
      <c r="A24" s="30">
        <f t="shared" si="1"/>
        <v>2043</v>
      </c>
      <c r="B24" s="32">
        <f>'ID Integration'!E29</f>
        <v>0.82795367697937394</v>
      </c>
      <c r="C24" s="31">
        <v>20</v>
      </c>
      <c r="D24" s="35">
        <f>-PMT($K$1,$C24,NPV($K$1,$B$5:$B24))</f>
        <v>1.3608666456812364</v>
      </c>
      <c r="E24" s="34">
        <f>-PMT($K$1,$C24,NPV($K$1,$B$6:$B25))</f>
        <v>1.2819824797005639</v>
      </c>
      <c r="F24" s="34">
        <f>-PMT($K$1,$C24,NPV($K$1,$B$7:$B26))</f>
        <v>0.82991529942352216</v>
      </c>
      <c r="G24" s="34">
        <f>-PMT($K$1,$C24,NPV($K$1,$B$8:$B27))</f>
        <v>0.55821799321329535</v>
      </c>
      <c r="H24" s="34">
        <f>-PMT($K$1,$C24,NPV($K$1,$B$9:$B28))</f>
        <v>0.39233291126147096</v>
      </c>
      <c r="I24" s="33">
        <f>-PMT($K$1,$C24,NPV($K$1,$B$10:$B29))</f>
        <v>0.39751159698221</v>
      </c>
    </row>
    <row r="25" spans="1:9" x14ac:dyDescent="0.25">
      <c r="A25" s="30">
        <f t="shared" si="1"/>
        <v>2044</v>
      </c>
      <c r="B25" s="32">
        <f>'ID Integration'!E30</f>
        <v>0.84451275051896146</v>
      </c>
      <c r="C25" s="31">
        <v>21</v>
      </c>
      <c r="D25" s="30"/>
      <c r="E25" s="29"/>
      <c r="F25" s="29"/>
      <c r="G25" s="29"/>
      <c r="H25" s="29"/>
      <c r="I25" s="28"/>
    </row>
    <row r="26" spans="1:9" x14ac:dyDescent="0.25">
      <c r="A26" s="30">
        <f t="shared" si="1"/>
        <v>2045</v>
      </c>
      <c r="B26" s="32">
        <f>'ID Integration'!E31</f>
        <v>0.86140300552934068</v>
      </c>
      <c r="C26" s="31">
        <v>22</v>
      </c>
      <c r="D26" s="30"/>
      <c r="E26" s="29"/>
      <c r="F26" s="29"/>
      <c r="G26" s="29"/>
      <c r="H26" s="29"/>
      <c r="I26" s="28"/>
    </row>
    <row r="27" spans="1:9" x14ac:dyDescent="0.25">
      <c r="A27" s="30">
        <f t="shared" si="1"/>
        <v>2046</v>
      </c>
      <c r="B27" s="32">
        <f>B26*(1+'ID Integration'!$B$35)</f>
        <v>0.87863106563992754</v>
      </c>
      <c r="C27" s="31">
        <v>23</v>
      </c>
      <c r="D27" s="30"/>
      <c r="E27" s="29"/>
      <c r="F27" s="29"/>
      <c r="G27" s="29"/>
      <c r="H27" s="29"/>
      <c r="I27" s="28"/>
    </row>
    <row r="28" spans="1:9" x14ac:dyDescent="0.25">
      <c r="A28" s="30">
        <f t="shared" si="1"/>
        <v>2047</v>
      </c>
      <c r="B28" s="32">
        <f>B27*(1+'ID Integration'!$B$35)</f>
        <v>0.89620368695272612</v>
      </c>
      <c r="C28" s="31">
        <v>24</v>
      </c>
      <c r="D28" s="30"/>
      <c r="E28" s="29"/>
      <c r="F28" s="29"/>
      <c r="G28" s="29"/>
      <c r="H28" s="29"/>
      <c r="I28" s="28"/>
    </row>
    <row r="29" spans="1:9" x14ac:dyDescent="0.25">
      <c r="A29" s="25">
        <f t="shared" si="1"/>
        <v>2048</v>
      </c>
      <c r="B29" s="27">
        <f>B28*(1+'ID Integration'!$B$35)</f>
        <v>0.9141277606917807</v>
      </c>
      <c r="C29" s="26">
        <v>25</v>
      </c>
      <c r="D29" s="25"/>
      <c r="E29" s="24"/>
      <c r="F29" s="24"/>
      <c r="G29" s="24"/>
      <c r="H29" s="24"/>
      <c r="I29" s="23"/>
    </row>
  </sheetData>
  <mergeCells count="1">
    <mergeCell ref="D3:I3"/>
  </mergeCells>
  <pageMargins left="0.7" right="0.7" top="0.75" bottom="0.75" header="0.3" footer="0.3"/>
  <pageSetup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440B2-C14E-4684-8ABD-41CC1EA6B925}">
  <sheetPr>
    <pageSetUpPr fitToPage="1"/>
  </sheetPr>
  <dimension ref="A1:L29"/>
  <sheetViews>
    <sheetView workbookViewId="0">
      <selection activeCell="B1" sqref="B1"/>
    </sheetView>
  </sheetViews>
  <sheetFormatPr defaultRowHeight="15" x14ac:dyDescent="0.25"/>
  <cols>
    <col min="2" max="2" width="20.7109375" customWidth="1"/>
    <col min="3" max="3" width="15" customWidth="1"/>
  </cols>
  <sheetData>
    <row r="1" spans="1:12" x14ac:dyDescent="0.25">
      <c r="A1" s="46" t="s">
        <v>43</v>
      </c>
      <c r="B1" s="29"/>
      <c r="C1" s="29"/>
      <c r="D1" s="29"/>
      <c r="E1" s="29"/>
      <c r="F1" s="29"/>
      <c r="G1" s="29"/>
      <c r="H1" s="29"/>
      <c r="I1" s="29"/>
      <c r="K1" s="18">
        <v>7.9799999999999996E-2</v>
      </c>
      <c r="L1" t="s">
        <v>41</v>
      </c>
    </row>
    <row r="2" spans="1:12" ht="5.25" customHeight="1" x14ac:dyDescent="0.25">
      <c r="A2" s="46"/>
      <c r="B2" s="29"/>
      <c r="C2" s="29"/>
      <c r="D2" s="29"/>
      <c r="E2" s="29"/>
      <c r="F2" s="29"/>
      <c r="G2" s="29"/>
      <c r="H2" s="29"/>
      <c r="I2" s="29"/>
    </row>
    <row r="3" spans="1:12" x14ac:dyDescent="0.25">
      <c r="A3" s="41"/>
      <c r="B3" s="45" t="s">
        <v>40</v>
      </c>
      <c r="C3" s="44" t="s">
        <v>39</v>
      </c>
      <c r="D3" s="47" t="s">
        <v>38</v>
      </c>
      <c r="E3" s="47"/>
      <c r="F3" s="47"/>
      <c r="G3" s="47"/>
      <c r="H3" s="47"/>
      <c r="I3" s="48"/>
    </row>
    <row r="4" spans="1:12" x14ac:dyDescent="0.25">
      <c r="A4" s="25" t="s">
        <v>37</v>
      </c>
      <c r="B4" s="43" t="s">
        <v>2</v>
      </c>
      <c r="C4" s="42" t="s">
        <v>36</v>
      </c>
      <c r="D4" s="24">
        <f>A5</f>
        <v>2024</v>
      </c>
      <c r="E4" s="24">
        <f t="shared" ref="E4:I4" si="0">D4+1</f>
        <v>2025</v>
      </c>
      <c r="F4" s="24">
        <f t="shared" si="0"/>
        <v>2026</v>
      </c>
      <c r="G4" s="24">
        <f t="shared" si="0"/>
        <v>2027</v>
      </c>
      <c r="H4" s="24">
        <f t="shared" si="0"/>
        <v>2028</v>
      </c>
      <c r="I4" s="23">
        <f t="shared" si="0"/>
        <v>2029</v>
      </c>
    </row>
    <row r="5" spans="1:12" x14ac:dyDescent="0.25">
      <c r="A5" s="41">
        <v>2024</v>
      </c>
      <c r="B5" s="40">
        <f>'ID Integration'!F10</f>
        <v>1.921229360613343</v>
      </c>
      <c r="C5" s="39">
        <v>1</v>
      </c>
      <c r="D5" s="38">
        <f>-PMT($K$1,$C5,NPV($K$1,$B$5:$B5))</f>
        <v>1.9212293606133433</v>
      </c>
      <c r="E5" s="37">
        <f>-PMT($K$1,$C5,NPV($K$1,$B$6:$B6))</f>
        <v>3.847100701208106</v>
      </c>
      <c r="F5" s="37">
        <f>-PMT($K$1,$C5,NPV($K$1,$B$7:$B7))</f>
        <v>4.7977833918832271</v>
      </c>
      <c r="G5" s="37">
        <f>-PMT($K$1,$C5,NPV($K$1,$B$8:$B8))</f>
        <v>3.4835553508973511</v>
      </c>
      <c r="H5" s="37">
        <f>-PMT($K$1,$C5,NPV($K$1,$B$9:$B9))</f>
        <v>0.64102975721880595</v>
      </c>
      <c r="I5" s="36">
        <f>-PMT($K$1,$C5,NPV($K$1,$B$10:$B10))</f>
        <v>0.66970465653973088</v>
      </c>
    </row>
    <row r="6" spans="1:12" x14ac:dyDescent="0.25">
      <c r="A6" s="30">
        <f>A5+1</f>
        <v>2025</v>
      </c>
      <c r="B6" s="32">
        <f>'ID Integration'!F11</f>
        <v>3.847100701208106</v>
      </c>
      <c r="C6" s="31">
        <v>2</v>
      </c>
      <c r="D6" s="35">
        <f>-PMT($K$1,$C6,NPV($K$1,$B$5:$B6))</f>
        <v>2.8472180809685517</v>
      </c>
      <c r="E6" s="34">
        <f>-PMT($K$1,$C6,NPV($K$1,$B$6:$B7))</f>
        <v>4.304203639315193</v>
      </c>
      <c r="F6" s="34">
        <f>-PMT($K$1,$C6,NPV($K$1,$B$7:$B8))</f>
        <v>4.1658822278357821</v>
      </c>
      <c r="G6" s="34">
        <f>-PMT($K$1,$C6,NPV($K$1,$B$8:$B9))</f>
        <v>2.1168250914115609</v>
      </c>
      <c r="H6" s="34">
        <f>-PMT($K$1,$C6,NPV($K$1,$B$9:$B10))</f>
        <v>0.654817092213</v>
      </c>
      <c r="I6" s="33">
        <f>-PMT($K$1,$C6,NPV($K$1,$B$10:$B11))</f>
        <v>0.71863819102556037</v>
      </c>
    </row>
    <row r="7" spans="1:12" x14ac:dyDescent="0.25">
      <c r="A7" s="30">
        <f t="shared" ref="A7:A29" si="1">A6+1</f>
        <v>2026</v>
      </c>
      <c r="B7" s="32">
        <f>'ID Integration'!F12</f>
        <v>4.7977833918832271</v>
      </c>
      <c r="C7" s="31">
        <v>3</v>
      </c>
      <c r="D7" s="35">
        <f>-PMT($K$1,$C7,NPV($K$1,$B$5:$B7))</f>
        <v>3.4481745531737169</v>
      </c>
      <c r="E7" s="34">
        <f>-PMT($K$1,$C7,NPV($K$1,$B$6:$B8))</f>
        <v>4.0513672448765323</v>
      </c>
      <c r="F7" s="34">
        <f>-PMT($K$1,$C7,NPV($K$1,$B$7:$B9))</f>
        <v>3.0798981318752539</v>
      </c>
      <c r="G7" s="34">
        <f>-PMT($K$1,$C7,NPV($K$1,$B$8:$B10))</f>
        <v>1.6709767075967303</v>
      </c>
      <c r="H7" s="34">
        <f>-PMT($K$1,$C7,NPV($K$1,$B$9:$B11))</f>
        <v>0.69075913363822727</v>
      </c>
      <c r="I7" s="33">
        <f>-PMT($K$1,$C7,NPV($K$1,$B$10:$B12))</f>
        <v>0.71306927126109687</v>
      </c>
    </row>
    <row r="8" spans="1:12" x14ac:dyDescent="0.25">
      <c r="A8" s="30">
        <f t="shared" si="1"/>
        <v>2027</v>
      </c>
      <c r="B8" s="32">
        <f>'ID Integration'!F13</f>
        <v>3.4835553508973507</v>
      </c>
      <c r="C8" s="31">
        <v>4</v>
      </c>
      <c r="D8" s="35">
        <f>-PMT($K$1,$C8,NPV($K$1,$B$5:$B8))</f>
        <v>3.4560286093396124</v>
      </c>
      <c r="E8" s="34">
        <f>-PMT($K$1,$C8,NPV($K$1,$B$6:$B9))</f>
        <v>3.2943186790996069</v>
      </c>
      <c r="F8" s="34">
        <f>-PMT($K$1,$C8,NPV($K$1,$B$7:$B10))</f>
        <v>2.5448679419450344</v>
      </c>
      <c r="G8" s="34">
        <f>-PMT($K$1,$C8,NPV($K$1,$B$8:$B11))</f>
        <v>1.4712999153401725</v>
      </c>
      <c r="H8" s="34">
        <f>-PMT($K$1,$C8,NPV($K$1,$B$9:$B12))</f>
        <v>0.69293540748095239</v>
      </c>
      <c r="I8" s="33">
        <f>-PMT($K$1,$C8,NPV($K$1,$B$10:$B13))</f>
        <v>0.71420318691636475</v>
      </c>
    </row>
    <row r="9" spans="1:12" x14ac:dyDescent="0.25">
      <c r="A9" s="30">
        <f t="shared" si="1"/>
        <v>2028</v>
      </c>
      <c r="B9" s="32">
        <f>'ID Integration'!F14</f>
        <v>0.64102975721880573</v>
      </c>
      <c r="C9" s="31">
        <v>5</v>
      </c>
      <c r="D9" s="35">
        <f>-PMT($K$1,$C9,NPV($K$1,$B$5:$B9))</f>
        <v>2.9760024870113164</v>
      </c>
      <c r="E9" s="34">
        <f>-PMT($K$1,$C9,NPV($K$1,$B$6:$B10))</f>
        <v>2.8467578245334679</v>
      </c>
      <c r="F9" s="34">
        <f>-PMT($K$1,$C9,NPV($K$1,$B$7:$B11))</f>
        <v>2.2424613678705452</v>
      </c>
      <c r="G9" s="34">
        <f>-PMT($K$1,$C9,NPV($K$1,$B$8:$B12))</f>
        <v>1.3398703897829338</v>
      </c>
      <c r="H9" s="34">
        <f>-PMT($K$1,$C9,NPV($K$1,$B$9:$B13))</f>
        <v>0.69723976932234732</v>
      </c>
      <c r="I9" s="33">
        <f>-PMT($K$1,$C9,NPV($K$1,$B$10:$B14))</f>
        <v>0.67133779459766874</v>
      </c>
    </row>
    <row r="10" spans="1:12" x14ac:dyDescent="0.25">
      <c r="A10" s="30">
        <f t="shared" si="1"/>
        <v>2029</v>
      </c>
      <c r="B10" s="32">
        <f>'ID Integration'!F15</f>
        <v>0.66970465653973077</v>
      </c>
      <c r="C10" s="31">
        <v>6</v>
      </c>
      <c r="D10" s="35">
        <f>-PMT($K$1,$C10,NPV($K$1,$B$5:$B10))</f>
        <v>2.6614599993109027</v>
      </c>
      <c r="E10" s="34">
        <f>-PMT($K$1,$C10,NPV($K$1,$B$6:$B11))</f>
        <v>2.5637223450582733</v>
      </c>
      <c r="F10" s="34">
        <f>-PMT($K$1,$C10,NPV($K$1,$B$7:$B12))</f>
        <v>2.0321708257782909</v>
      </c>
      <c r="G10" s="34">
        <f>-PMT($K$1,$C10,NPV($K$1,$B$8:$B13))</f>
        <v>1.2550813028639374</v>
      </c>
      <c r="H10" s="34">
        <f>-PMT($K$1,$C10,NPV($K$1,$B$9:$B14))</f>
        <v>0.66526989541142345</v>
      </c>
      <c r="I10" s="33">
        <f>-PMT($K$1,$C10,NPV($K$1,$B$10:$B15))</f>
        <v>0.63776704354518055</v>
      </c>
    </row>
    <row r="11" spans="1:12" x14ac:dyDescent="0.25">
      <c r="A11" s="30">
        <f t="shared" si="1"/>
        <v>2030</v>
      </c>
      <c r="B11" s="32">
        <f>'ID Integration'!F16</f>
        <v>0.77147662156335917</v>
      </c>
      <c r="C11" s="31">
        <v>7</v>
      </c>
      <c r="D11" s="35">
        <f>-PMT($K$1,$C11,NPV($K$1,$B$5:$B11))</f>
        <v>2.4495152951241197</v>
      </c>
      <c r="E11" s="34">
        <f>-PMT($K$1,$C11,NPV($K$1,$B$6:$B12))</f>
        <v>2.3547856899534612</v>
      </c>
      <c r="F11" s="34">
        <f>-PMT($K$1,$C11,NPV($K$1,$B$7:$B13))</f>
        <v>1.8848182247884717</v>
      </c>
      <c r="G11" s="34">
        <f>-PMT($K$1,$C11,NPV($K$1,$B$8:$B14))</f>
        <v>1.1662373386924627</v>
      </c>
      <c r="H11" s="34">
        <f>-PMT($K$1,$C11,NPV($K$1,$B$9:$B15))</f>
        <v>0.63834701081714462</v>
      </c>
      <c r="I11" s="33">
        <f>-PMT($K$1,$C11,NPV($K$1,$B$10:$B16))</f>
        <v>0.63161796920693591</v>
      </c>
    </row>
    <row r="12" spans="1:12" x14ac:dyDescent="0.25">
      <c r="A12" s="30">
        <f t="shared" si="1"/>
        <v>2031</v>
      </c>
      <c r="B12" s="32">
        <f>'ID Integration'!F17</f>
        <v>0.70056276923674043</v>
      </c>
      <c r="C12" s="31">
        <v>8</v>
      </c>
      <c r="D12" s="35">
        <f>-PMT($K$1,$C12,NPV($K$1,$B$5:$B12))</f>
        <v>2.2849691046825771</v>
      </c>
      <c r="E12" s="34">
        <f>-PMT($K$1,$C12,NPV($K$1,$B$6:$B13))</f>
        <v>2.2008091412376234</v>
      </c>
      <c r="F12" s="34">
        <f>-PMT($K$1,$C12,NPV($K$1,$B$7:$B14))</f>
        <v>1.7510336558714426</v>
      </c>
      <c r="G12" s="34">
        <f>-PMT($K$1,$C12,NPV($K$1,$B$8:$B15))</f>
        <v>1.0965175350278751</v>
      </c>
      <c r="H12" s="34">
        <f>-PMT($K$1,$C12,NPV($K$1,$B$9:$B16))</f>
        <v>0.63313357134629866</v>
      </c>
      <c r="I12" s="33">
        <f>-PMT($K$1,$C12,NPV($K$1,$B$10:$B17))</f>
        <v>0.64827592444345017</v>
      </c>
    </row>
    <row r="13" spans="1:12" x14ac:dyDescent="0.25">
      <c r="A13" s="30">
        <f t="shared" si="1"/>
        <v>2032</v>
      </c>
      <c r="B13" s="32">
        <f>'ID Integration'!F18</f>
        <v>0.71817731220036396</v>
      </c>
      <c r="C13" s="31">
        <v>9</v>
      </c>
      <c r="D13" s="35">
        <f>-PMT($K$1,$C13,NPV($K$1,$B$5:$B13))</f>
        <v>2.1593960689492251</v>
      </c>
      <c r="E13" s="34">
        <f>-PMT($K$1,$C13,NPV($K$1,$B$6:$B14))</f>
        <v>2.0615159657009658</v>
      </c>
      <c r="F13" s="34">
        <f>-PMT($K$1,$C13,NPV($K$1,$B$7:$B15))</f>
        <v>1.6447717404867572</v>
      </c>
      <c r="G13" s="34">
        <f>-PMT($K$1,$C13,NPV($K$1,$B$8:$B16))</f>
        <v>1.05535553226704</v>
      </c>
      <c r="H13" s="34">
        <f>-PMT($K$1,$C13,NPV($K$1,$B$9:$B17))</f>
        <v>0.64720257769992673</v>
      </c>
      <c r="I13" s="33">
        <f>-PMT($K$1,$C13,NPV($K$1,$B$10:$B18))</f>
        <v>0.63240707216033643</v>
      </c>
    </row>
    <row r="14" spans="1:12" x14ac:dyDescent="0.25">
      <c r="A14" s="30">
        <f t="shared" si="1"/>
        <v>2033</v>
      </c>
      <c r="B14" s="32">
        <f>'ID Integration'!F19</f>
        <v>0.46282930420438961</v>
      </c>
      <c r="C14" s="31">
        <v>10</v>
      </c>
      <c r="D14" s="35">
        <f>-PMT($K$1,$C14,NPV($K$1,$B$5:$B14))</f>
        <v>2.0421716566094097</v>
      </c>
      <c r="E14" s="34">
        <f>-PMT($K$1,$C14,NPV($K$1,$B$6:$B15))</f>
        <v>1.9484538497720274</v>
      </c>
      <c r="F14" s="34">
        <f>-PMT($K$1,$C14,NPV($K$1,$B$7:$B16))</f>
        <v>1.5714039548805045</v>
      </c>
      <c r="G14" s="34">
        <f>-PMT($K$1,$C14,NPV($K$1,$B$8:$B17))</f>
        <v>1.038311085195371</v>
      </c>
      <c r="H14" s="34">
        <f>-PMT($K$1,$C14,NPV($K$1,$B$9:$B18))</f>
        <v>0.63359606582702288</v>
      </c>
      <c r="I14" s="33">
        <f>-PMT($K$1,$C14,NPV($K$1,$B$10:$B19))</f>
        <v>0.62250350814822364</v>
      </c>
    </row>
    <row r="15" spans="1:12" x14ac:dyDescent="0.25">
      <c r="A15" s="30">
        <f t="shared" si="1"/>
        <v>2034</v>
      </c>
      <c r="B15" s="32">
        <f>'ID Integration'!F20</f>
        <v>0.42518933024967454</v>
      </c>
      <c r="C15" s="31">
        <v>11</v>
      </c>
      <c r="D15" s="35">
        <f>-PMT($K$1,$C15,NPV($K$1,$B$5:$B15))</f>
        <v>1.9449255968392756</v>
      </c>
      <c r="E15" s="34">
        <f>-PMT($K$1,$C15,NPV($K$1,$B$6:$B16))</f>
        <v>1.8663308375296086</v>
      </c>
      <c r="F15" s="34">
        <f>-PMT($K$1,$C15,NPV($K$1,$B$7:$B17))</f>
        <v>1.5255330534151519</v>
      </c>
      <c r="G15" s="34">
        <f>-PMT($K$1,$C15,NPV($K$1,$B$8:$B18))</f>
        <v>1.0029465115659215</v>
      </c>
      <c r="H15" s="34">
        <f>-PMT($K$1,$C15,NPV($K$1,$B$9:$B19))</f>
        <v>0.62490448222105865</v>
      </c>
      <c r="I15" s="33">
        <f>-PMT($K$1,$C15,NPV($K$1,$B$10:$B20))</f>
        <v>0.62053762013631442</v>
      </c>
    </row>
    <row r="16" spans="1:12" x14ac:dyDescent="0.25">
      <c r="A16" s="30">
        <f t="shared" si="1"/>
        <v>2035</v>
      </c>
      <c r="B16" s="32">
        <f>'ID Integration'!F21</f>
        <v>0.58293364569073525</v>
      </c>
      <c r="C16" s="31">
        <v>12</v>
      </c>
      <c r="D16" s="35">
        <f>-PMT($K$1,$C16,NPV($K$1,$B$5:$B16))</f>
        <v>1.8730702461294551</v>
      </c>
      <c r="E16" s="34">
        <f>-PMT($K$1,$C16,NPV($K$1,$B$6:$B17))</f>
        <v>1.81053148491753</v>
      </c>
      <c r="F16" s="34">
        <f>-PMT($K$1,$C16,NPV($K$1,$B$7:$B18))</f>
        <v>1.4688052427237157</v>
      </c>
      <c r="G16" s="34">
        <f>-PMT($K$1,$C16,NPV($K$1,$B$8:$B19))</f>
        <v>0.97583589469149712</v>
      </c>
      <c r="H16" s="34">
        <f>-PMT($K$1,$C16,NPV($K$1,$B$9:$B20))</f>
        <v>0.62305325948552437</v>
      </c>
      <c r="I16" s="33">
        <f>-PMT($K$1,$C16,NPV($K$1,$B$10:$B21))</f>
        <v>0.62485756196471876</v>
      </c>
    </row>
    <row r="17" spans="1:9" x14ac:dyDescent="0.25">
      <c r="A17" s="30">
        <f t="shared" si="1"/>
        <v>2036</v>
      </c>
      <c r="B17" s="32">
        <f>'ID Integration'!F22</f>
        <v>0.8086744711462559</v>
      </c>
      <c r="C17" s="31">
        <v>13</v>
      </c>
      <c r="D17" s="35">
        <f>-PMT($K$1,$C17,NPV($K$1,$B$5:$B17))</f>
        <v>1.8234878584246372</v>
      </c>
      <c r="E17" s="34">
        <f>-PMT($K$1,$C17,NPV($K$1,$B$6:$B18))</f>
        <v>1.7471672625609744</v>
      </c>
      <c r="F17" s="34">
        <f>-PMT($K$1,$C17,NPV($K$1,$B$7:$B19))</f>
        <v>1.4231667850713765</v>
      </c>
      <c r="G17" s="34">
        <f>-PMT($K$1,$C17,NPV($K$1,$B$8:$B20))</f>
        <v>0.95785402491335159</v>
      </c>
      <c r="H17" s="34">
        <f>-PMT($K$1,$C17,NPV($K$1,$B$9:$B21))</f>
        <v>0.62675039866844706</v>
      </c>
      <c r="I17" s="33">
        <f>-PMT($K$1,$C17,NPV($K$1,$B$10:$B22))</f>
        <v>0.64962858487808373</v>
      </c>
    </row>
    <row r="18" spans="1:9" x14ac:dyDescent="0.25">
      <c r="A18" s="30">
        <f t="shared" si="1"/>
        <v>2037</v>
      </c>
      <c r="B18" s="32">
        <f>'ID Integration'!F23</f>
        <v>0.45027810295181148</v>
      </c>
      <c r="C18" s="31">
        <v>14</v>
      </c>
      <c r="D18" s="35">
        <f>-PMT($K$1,$C18,NPV($K$1,$B$5:$B18))</f>
        <v>1.7666974203966741</v>
      </c>
      <c r="E18" s="34">
        <f>-PMT($K$1,$C18,NPV($K$1,$B$6:$B19))</f>
        <v>1.6951376075258595</v>
      </c>
      <c r="F18" s="34">
        <f>-PMT($K$1,$C18,NPV($K$1,$B$7:$B20))</f>
        <v>1.3887027131343592</v>
      </c>
      <c r="G18" s="34">
        <f>-PMT($K$1,$C18,NPV($K$1,$B$8:$B21))</f>
        <v>0.94729032233438104</v>
      </c>
      <c r="H18" s="34">
        <f>-PMT($K$1,$C18,NPV($K$1,$B$9:$B22))</f>
        <v>0.64866377712690282</v>
      </c>
      <c r="I18" s="33">
        <f>-PMT($K$1,$C18,NPV($K$1,$B$10:$B23))</f>
        <v>0.67640579371293386</v>
      </c>
    </row>
    <row r="19" spans="1:9" x14ac:dyDescent="0.25">
      <c r="A19" s="30">
        <f t="shared" si="1"/>
        <v>2038</v>
      </c>
      <c r="B19" s="32">
        <f>'ID Integration'!F24</f>
        <v>0.48907466195582394</v>
      </c>
      <c r="C19" s="31">
        <v>15</v>
      </c>
      <c r="D19" s="35">
        <f>-PMT($K$1,$C19,NPV($K$1,$B$5:$B19))</f>
        <v>1.7195698621109907</v>
      </c>
      <c r="E19" s="34">
        <f>-PMT($K$1,$C19,NPV($K$1,$B$6:$B20))</f>
        <v>1.6543656782622844</v>
      </c>
      <c r="F19" s="34">
        <f>-PMT($K$1,$C19,NPV($K$1,$B$7:$B21))</f>
        <v>1.3633878830317778</v>
      </c>
      <c r="G19" s="34">
        <f>-PMT($K$1,$C19,NPV($K$1,$B$8:$B22))</f>
        <v>0.95501193757838965</v>
      </c>
      <c r="H19" s="34">
        <f>-PMT($K$1,$C19,NPV($K$1,$B$9:$B23))</f>
        <v>0.67258293720430629</v>
      </c>
      <c r="I19" s="33">
        <f>-PMT($K$1,$C19,NPV($K$1,$B$10:$B24))</f>
        <v>0.70025856374036421</v>
      </c>
    </row>
    <row r="20" spans="1:9" x14ac:dyDescent="0.25">
      <c r="A20" s="30">
        <f t="shared" si="1"/>
        <v>2039</v>
      </c>
      <c r="B20" s="32">
        <f>'ID Integration'!F25</f>
        <v>0.58981523081982667</v>
      </c>
      <c r="C20" s="31">
        <v>16</v>
      </c>
      <c r="D20" s="35">
        <f>-PMT($K$1,$C20,NPV($K$1,$B$5:$B20))</f>
        <v>1.6822512912203194</v>
      </c>
      <c r="E20" s="34">
        <f>-PMT($K$1,$C20,NPV($K$1,$B$6:$B21))</f>
        <v>1.6229205917780452</v>
      </c>
      <c r="F20" s="34">
        <f>-PMT($K$1,$C20,NPV($K$1,$B$7:$B22))</f>
        <v>1.3565579123504874</v>
      </c>
      <c r="G20" s="34">
        <f>-PMT($K$1,$C20,NPV($K$1,$B$8:$B23))</f>
        <v>0.96631226025561445</v>
      </c>
      <c r="H20" s="34">
        <f>-PMT($K$1,$C20,NPV($K$1,$B$9:$B24))</f>
        <v>0.69406951785717852</v>
      </c>
      <c r="I20" s="33">
        <f>-PMT($K$1,$C20,NPV($K$1,$B$10:$B25))</f>
        <v>0.72170502340672138</v>
      </c>
    </row>
    <row r="21" spans="1:9" x14ac:dyDescent="0.25">
      <c r="A21" s="30">
        <f t="shared" si="1"/>
        <v>2040</v>
      </c>
      <c r="B21" s="32">
        <f>'ID Integration'!F26</f>
        <v>0.70242054105444696</v>
      </c>
      <c r="C21" s="31">
        <v>17</v>
      </c>
      <c r="D21" s="35">
        <f>-PMT($K$1,$C21,NPV($K$1,$B$5:$B21))</f>
        <v>1.6531667541976842</v>
      </c>
      <c r="E21" s="34">
        <f>-PMT($K$1,$C21,NPV($K$1,$B$6:$B22))</f>
        <v>1.6090793584982501</v>
      </c>
      <c r="F21" s="34">
        <f>-PMT($K$1,$C21,NPV($K$1,$B$7:$B23))</f>
        <v>1.3547932915234222</v>
      </c>
      <c r="G21" s="34">
        <f>-PMT($K$1,$C21,NPV($K$1,$B$8:$B24))</f>
        <v>0.97690143695506482</v>
      </c>
      <c r="H21" s="34">
        <f>-PMT($K$1,$C21,NPV($K$1,$B$9:$B25))</f>
        <v>0.71352518607275861</v>
      </c>
      <c r="I21" s="33">
        <f>-PMT($K$1,$C21,NPV($K$1,$B$10:$B26))</f>
        <v>0.7411415384850164</v>
      </c>
    </row>
    <row r="22" spans="1:9" x14ac:dyDescent="0.25">
      <c r="A22" s="30">
        <f t="shared" si="1"/>
        <v>2041</v>
      </c>
      <c r="B22" s="32">
        <f>'ID Integration'!F27</f>
        <v>1.1566224355719614</v>
      </c>
      <c r="C22" s="31">
        <v>18</v>
      </c>
      <c r="D22" s="35">
        <f>-PMT($K$1,$C22,NPV($K$1,$B$5:$B22))</f>
        <v>1.6398821577304692</v>
      </c>
      <c r="E22" s="34">
        <f>-PMT($K$1,$C22,NPV($K$1,$B$6:$B23))</f>
        <v>1.6007328854535963</v>
      </c>
      <c r="F22" s="34">
        <f>-PMT($K$1,$C22,NPV($K$1,$B$7:$B24))</f>
        <v>1.3539440733484021</v>
      </c>
      <c r="G22" s="34">
        <f>-PMT($K$1,$C22,NPV($K$1,$B$8:$B25))</f>
        <v>0.98687031647843571</v>
      </c>
      <c r="H22" s="34">
        <f>-PMT($K$1,$C22,NPV($K$1,$B$9:$B26))</f>
        <v>0.73126256017898383</v>
      </c>
      <c r="I22" s="33">
        <f>-PMT($K$1,$C22,NPV($K$1,$B$10:$B27))</f>
        <v>0.75887660389989009</v>
      </c>
    </row>
    <row r="23" spans="1:9" x14ac:dyDescent="0.25">
      <c r="A23" s="30">
        <f t="shared" si="1"/>
        <v>2042</v>
      </c>
      <c r="B23" s="32">
        <f>'ID Integration'!F28</f>
        <v>1.2971094931648595</v>
      </c>
      <c r="C23" s="31">
        <v>19</v>
      </c>
      <c r="D23" s="35">
        <f>-PMT($K$1,$C23,NPV($K$1,$B$5:$B23))</f>
        <v>1.6315946512988515</v>
      </c>
      <c r="E23" s="34">
        <f>-PMT($K$1,$C23,NPV($K$1,$B$6:$B24))</f>
        <v>1.5940191506989405</v>
      </c>
      <c r="F23" s="34">
        <f>-PMT($K$1,$C23,NPV($K$1,$B$7:$B25))</f>
        <v>1.3538369326670867</v>
      </c>
      <c r="G23" s="34">
        <f>-PMT($K$1,$C23,NPV($K$1,$B$8:$B26))</f>
        <v>0.99629079676846788</v>
      </c>
      <c r="H23" s="34">
        <f>-PMT($K$1,$C23,NPV($K$1,$B$9:$B27))</f>
        <v>0.74752870440720276</v>
      </c>
      <c r="I23" s="33">
        <f>-PMT($K$1,$C23,NPV($K$1,$B$10:$B28))</f>
        <v>0.77515402992172833</v>
      </c>
    </row>
    <row r="24" spans="1:9" x14ac:dyDescent="0.25">
      <c r="A24" s="30">
        <f t="shared" si="1"/>
        <v>2043</v>
      </c>
      <c r="B24" s="32">
        <f>'ID Integration'!F29</f>
        <v>1.3230516830281567</v>
      </c>
      <c r="C24" s="31">
        <v>20</v>
      </c>
      <c r="D24" s="35">
        <f>-PMT($K$1,$C24,NPV($K$1,$B$5:$B24))</f>
        <v>1.624837354559999</v>
      </c>
      <c r="E24" s="34">
        <f>-PMT($K$1,$C24,NPV($K$1,$B$6:$B25))</f>
        <v>1.5886642967593869</v>
      </c>
      <c r="F24" s="34">
        <f>-PMT($K$1,$C24,NPV($K$1,$B$7:$B26))</f>
        <v>1.3543333340205839</v>
      </c>
      <c r="G24" s="34">
        <f>-PMT($K$1,$C24,NPV($K$1,$B$8:$B27))</f>
        <v>1.0052206235648566</v>
      </c>
      <c r="H24" s="34">
        <f>-PMT($K$1,$C24,NPV($K$1,$B$9:$B28))</f>
        <v>0.76252157208993798</v>
      </c>
      <c r="I24" s="33">
        <f>-PMT($K$1,$C24,NPV($K$1,$B$10:$B29))</f>
        <v>0.79016916945046833</v>
      </c>
    </row>
    <row r="25" spans="1:9" x14ac:dyDescent="0.25">
      <c r="A25" s="30">
        <f t="shared" si="1"/>
        <v>2044</v>
      </c>
      <c r="B25" s="32">
        <f>'ID Integration'!F30</f>
        <v>1.3495127166887197</v>
      </c>
      <c r="C25" s="31">
        <v>21</v>
      </c>
      <c r="D25" s="30"/>
      <c r="E25" s="29"/>
      <c r="F25" s="29"/>
      <c r="G25" s="29"/>
      <c r="H25" s="29"/>
      <c r="I25" s="28"/>
    </row>
    <row r="26" spans="1:9" x14ac:dyDescent="0.25">
      <c r="A26" s="30">
        <f t="shared" si="1"/>
        <v>2045</v>
      </c>
      <c r="B26" s="32">
        <f>'ID Integration'!F31</f>
        <v>1.3765029710224941</v>
      </c>
      <c r="C26" s="31">
        <v>22</v>
      </c>
      <c r="D26" s="30"/>
      <c r="E26" s="29"/>
      <c r="F26" s="29"/>
      <c r="G26" s="29"/>
      <c r="H26" s="29"/>
      <c r="I26" s="28"/>
    </row>
    <row r="27" spans="1:9" x14ac:dyDescent="0.25">
      <c r="A27" s="30">
        <f t="shared" si="1"/>
        <v>2046</v>
      </c>
      <c r="B27" s="32">
        <f>B26*(1+'ID Integration'!$B$35)</f>
        <v>1.404033030442944</v>
      </c>
      <c r="C27" s="31">
        <v>23</v>
      </c>
      <c r="D27" s="30"/>
      <c r="E27" s="29"/>
      <c r="F27" s="29"/>
      <c r="G27" s="29"/>
      <c r="H27" s="29"/>
      <c r="I27" s="28"/>
    </row>
    <row r="28" spans="1:9" x14ac:dyDescent="0.25">
      <c r="A28" s="30">
        <f t="shared" si="1"/>
        <v>2047</v>
      </c>
      <c r="B28" s="32">
        <f>B27*(1+'ID Integration'!$B$35)</f>
        <v>1.4321136910518029</v>
      </c>
      <c r="C28" s="31">
        <v>24</v>
      </c>
      <c r="D28" s="30"/>
      <c r="E28" s="29"/>
      <c r="F28" s="29"/>
      <c r="G28" s="29"/>
      <c r="H28" s="29"/>
      <c r="I28" s="28"/>
    </row>
    <row r="29" spans="1:9" x14ac:dyDescent="0.25">
      <c r="A29" s="25">
        <f t="shared" si="1"/>
        <v>2048</v>
      </c>
      <c r="B29" s="27">
        <f>B28*(1+'ID Integration'!$B$35)</f>
        <v>1.460755964872839</v>
      </c>
      <c r="C29" s="26">
        <v>25</v>
      </c>
      <c r="D29" s="25"/>
      <c r="E29" s="24"/>
      <c r="F29" s="24"/>
      <c r="G29" s="24"/>
      <c r="H29" s="24"/>
      <c r="I29" s="23"/>
    </row>
  </sheetData>
  <mergeCells count="1">
    <mergeCell ref="D3:I3"/>
  </mergeCells>
  <pageMargins left="0.7" right="0.7" top="0.75" bottom="0.75" header="0.3" footer="0.3"/>
  <pageSetup scale="6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9214A-B90F-4B57-880E-0B2D03A47DA7}">
  <dimension ref="A1:K37"/>
  <sheetViews>
    <sheetView workbookViewId="0">
      <selection activeCell="H11" sqref="H11"/>
    </sheetView>
  </sheetViews>
  <sheetFormatPr defaultRowHeight="15" x14ac:dyDescent="0.25"/>
  <cols>
    <col min="1" max="2" width="35.85546875" customWidth="1"/>
    <col min="3" max="3" width="11.7109375" bestFit="1" customWidth="1"/>
  </cols>
  <sheetData>
    <row r="1" spans="1:11" x14ac:dyDescent="0.25">
      <c r="B1" t="s">
        <v>30</v>
      </c>
      <c r="C1" t="s">
        <v>30</v>
      </c>
      <c r="E1" t="s">
        <v>45</v>
      </c>
      <c r="F1" t="s">
        <v>45</v>
      </c>
      <c r="H1" t="s">
        <v>44</v>
      </c>
    </row>
    <row r="2" spans="1:11" x14ac:dyDescent="0.25">
      <c r="B2" t="s">
        <v>27</v>
      </c>
      <c r="C2" t="s">
        <v>27</v>
      </c>
      <c r="E2" t="s">
        <v>29</v>
      </c>
      <c r="F2" t="s">
        <v>29</v>
      </c>
      <c r="H2" t="s">
        <v>29</v>
      </c>
      <c r="I2" t="s">
        <v>29</v>
      </c>
    </row>
    <row r="3" spans="1:11" x14ac:dyDescent="0.25">
      <c r="B3" t="s">
        <v>25</v>
      </c>
      <c r="C3" t="s">
        <v>26</v>
      </c>
      <c r="E3" t="s">
        <v>25</v>
      </c>
      <c r="F3" t="s">
        <v>26</v>
      </c>
      <c r="H3" t="s">
        <v>25</v>
      </c>
      <c r="I3" t="s">
        <v>26</v>
      </c>
      <c r="K3" t="s">
        <v>20</v>
      </c>
    </row>
    <row r="4" spans="1:11" x14ac:dyDescent="0.25">
      <c r="A4">
        <v>2018</v>
      </c>
      <c r="B4" s="15">
        <v>1.1100000000000001</v>
      </c>
      <c r="C4" s="15">
        <v>0.85</v>
      </c>
    </row>
    <row r="5" spans="1:11" x14ac:dyDescent="0.25">
      <c r="A5">
        <f>A4+1</f>
        <v>2019</v>
      </c>
      <c r="B5" s="16">
        <f>B4*(1+$B$35)</f>
        <v>1.1322000000000001</v>
      </c>
      <c r="C5" s="16">
        <f t="shared" ref="C5:C28" si="0">C4*(1+$B$35)</f>
        <v>0.86699999999999999</v>
      </c>
    </row>
    <row r="6" spans="1:11" x14ac:dyDescent="0.25">
      <c r="A6">
        <f t="shared" ref="A6:A31" si="1">A5+1</f>
        <v>2020</v>
      </c>
      <c r="B6" s="16">
        <f t="shared" ref="B6:B28" si="2">B5*(1+$B$35)</f>
        <v>1.1548440000000002</v>
      </c>
      <c r="C6" s="16">
        <f t="shared" si="0"/>
        <v>0.88434000000000001</v>
      </c>
    </row>
    <row r="7" spans="1:11" x14ac:dyDescent="0.25">
      <c r="A7">
        <f t="shared" si="1"/>
        <v>2021</v>
      </c>
      <c r="B7" s="16">
        <f t="shared" si="2"/>
        <v>1.1779408800000002</v>
      </c>
      <c r="C7" s="16">
        <f t="shared" si="0"/>
        <v>0.90202680000000002</v>
      </c>
    </row>
    <row r="8" spans="1:11" x14ac:dyDescent="0.25">
      <c r="A8">
        <f t="shared" si="1"/>
        <v>2022</v>
      </c>
      <c r="B8" s="16">
        <f t="shared" si="2"/>
        <v>1.2014996976000003</v>
      </c>
      <c r="C8" s="16">
        <f t="shared" si="0"/>
        <v>0.92006733600000001</v>
      </c>
    </row>
    <row r="9" spans="1:11" ht="15.75" thickBot="1" x14ac:dyDescent="0.3">
      <c r="A9">
        <f t="shared" si="1"/>
        <v>2023</v>
      </c>
      <c r="B9" s="16">
        <f t="shared" si="2"/>
        <v>1.2255296915520004</v>
      </c>
      <c r="C9" s="16">
        <f t="shared" si="0"/>
        <v>0.93846868272000006</v>
      </c>
    </row>
    <row r="10" spans="1:11" ht="15.75" thickBot="1" x14ac:dyDescent="0.3">
      <c r="A10">
        <f t="shared" si="1"/>
        <v>2024</v>
      </c>
      <c r="B10" s="21">
        <f t="shared" si="2"/>
        <v>1.2500402853830404</v>
      </c>
      <c r="C10" s="22">
        <f t="shared" si="0"/>
        <v>0.95723805637440007</v>
      </c>
      <c r="E10" s="16">
        <f>'23 IRP Summary'!B7</f>
        <v>2.0253231680280233</v>
      </c>
      <c r="F10" s="16">
        <f>'23 IRP Summary'!C7</f>
        <v>1.921229360613343</v>
      </c>
      <c r="H10" s="19">
        <f>E33/-PMT($B$36,COUNT($K$10:$K$29),NPV($B$36,$K$10:$K$29))</f>
        <v>1.1767329665386799</v>
      </c>
      <c r="I10" s="20">
        <f>F33/-PMT($B$36,COUNT($K$10:$K$29),NPV($B$36,$K$10:$K$29))</f>
        <v>1.4049868048732432</v>
      </c>
      <c r="K10" s="17">
        <v>1</v>
      </c>
    </row>
    <row r="11" spans="1:11" x14ac:dyDescent="0.25">
      <c r="A11">
        <f t="shared" si="1"/>
        <v>2025</v>
      </c>
      <c r="B11" s="16">
        <f t="shared" si="2"/>
        <v>1.2750410910907011</v>
      </c>
      <c r="C11" s="16">
        <f t="shared" si="0"/>
        <v>0.97638281750188805</v>
      </c>
      <c r="E11" s="16">
        <f>'23 IRP Summary'!E8</f>
        <v>5.6364889281528976</v>
      </c>
      <c r="F11" s="16">
        <f>'23 IRP Summary'!F8</f>
        <v>3.847100701208106</v>
      </c>
      <c r="H11" s="16">
        <f t="shared" ref="H11:H31" si="3">H10*(1+$B$35)</f>
        <v>1.2002676258694536</v>
      </c>
      <c r="I11" s="16">
        <f t="shared" ref="I11:I31" si="4">I10*(1+$B$35)</f>
        <v>1.4330865409707081</v>
      </c>
      <c r="K11" s="2">
        <f>K10*(1+$B$35)</f>
        <v>1.02</v>
      </c>
    </row>
    <row r="12" spans="1:11" x14ac:dyDescent="0.25">
      <c r="A12">
        <f t="shared" si="1"/>
        <v>2026</v>
      </c>
      <c r="B12" s="16">
        <f t="shared" si="2"/>
        <v>1.3005419129125151</v>
      </c>
      <c r="C12" s="16">
        <f t="shared" si="0"/>
        <v>0.99591047385192577</v>
      </c>
      <c r="E12" s="16">
        <f>'23 IRP Summary'!E9</f>
        <v>3.5119450498647748</v>
      </c>
      <c r="F12" s="16">
        <f>'23 IRP Summary'!F9</f>
        <v>4.7977833918832271</v>
      </c>
      <c r="H12" s="16">
        <f t="shared" si="3"/>
        <v>1.2242729783868427</v>
      </c>
      <c r="I12" s="16">
        <f t="shared" si="4"/>
        <v>1.4617482717901222</v>
      </c>
      <c r="K12" s="2">
        <f t="shared" ref="K12:K31" si="5">K11*(1+$B$35)</f>
        <v>1.0404</v>
      </c>
    </row>
    <row r="13" spans="1:11" x14ac:dyDescent="0.25">
      <c r="A13">
        <f t="shared" si="1"/>
        <v>2027</v>
      </c>
      <c r="B13" s="16">
        <f t="shared" si="2"/>
        <v>1.3265527511707653</v>
      </c>
      <c r="C13" s="16">
        <f t="shared" si="0"/>
        <v>1.0158286833289643</v>
      </c>
      <c r="E13" s="16">
        <f>'23 IRP Summary'!E10</f>
        <v>2.2621123675385832</v>
      </c>
      <c r="F13" s="16">
        <f>'23 IRP Summary'!F10</f>
        <v>3.4835553508973507</v>
      </c>
      <c r="H13" s="16">
        <f t="shared" si="3"/>
        <v>1.2487584379545795</v>
      </c>
      <c r="I13" s="16">
        <f t="shared" si="4"/>
        <v>1.4909832372259246</v>
      </c>
      <c r="K13" s="2">
        <f t="shared" si="5"/>
        <v>1.0612079999999999</v>
      </c>
    </row>
    <row r="14" spans="1:11" x14ac:dyDescent="0.25">
      <c r="A14">
        <f t="shared" si="1"/>
        <v>2028</v>
      </c>
      <c r="B14" s="16">
        <f t="shared" si="2"/>
        <v>1.3530838061941806</v>
      </c>
      <c r="C14" s="16">
        <f t="shared" si="0"/>
        <v>1.0361452569955436</v>
      </c>
      <c r="E14" s="16">
        <f>'23 IRP Summary'!E11</f>
        <v>0.453777635343868</v>
      </c>
      <c r="F14" s="16">
        <f>'23 IRP Summary'!F11</f>
        <v>0.64102975721880573</v>
      </c>
      <c r="H14" s="16">
        <f t="shared" si="3"/>
        <v>1.2737336067136711</v>
      </c>
      <c r="I14" s="16">
        <f t="shared" si="4"/>
        <v>1.5208029019704432</v>
      </c>
      <c r="K14" s="2">
        <f t="shared" si="5"/>
        <v>1.08243216</v>
      </c>
    </row>
    <row r="15" spans="1:11" x14ac:dyDescent="0.25">
      <c r="A15">
        <f t="shared" si="1"/>
        <v>2029</v>
      </c>
      <c r="B15" s="16">
        <f t="shared" si="2"/>
        <v>1.3801454823180641</v>
      </c>
      <c r="C15" s="16">
        <f t="shared" si="0"/>
        <v>1.0568681621354545</v>
      </c>
      <c r="E15" s="16">
        <f>'23 IRP Summary'!E12</f>
        <v>0.35907830585448569</v>
      </c>
      <c r="F15" s="16">
        <f>'23 IRP Summary'!F12</f>
        <v>0.66970465653973077</v>
      </c>
      <c r="H15" s="16">
        <f t="shared" si="3"/>
        <v>1.2992082788479444</v>
      </c>
      <c r="I15" s="16">
        <f t="shared" si="4"/>
        <v>1.551218960009852</v>
      </c>
      <c r="K15" s="2">
        <f t="shared" si="5"/>
        <v>1.1040808032</v>
      </c>
    </row>
    <row r="16" spans="1:11" x14ac:dyDescent="0.25">
      <c r="A16">
        <f t="shared" si="1"/>
        <v>2030</v>
      </c>
      <c r="B16" s="16">
        <f t="shared" si="2"/>
        <v>1.4077483919644254</v>
      </c>
      <c r="C16" s="16">
        <f t="shared" si="0"/>
        <v>1.0780055253781637</v>
      </c>
      <c r="E16" s="16">
        <f>'23 IRP Summary'!E13</f>
        <v>0.2650844441510759</v>
      </c>
      <c r="F16" s="16">
        <f>'23 IRP Summary'!F13</f>
        <v>0.77147662156335917</v>
      </c>
      <c r="H16" s="16">
        <f t="shared" si="3"/>
        <v>1.3251924444249032</v>
      </c>
      <c r="I16" s="16">
        <f t="shared" si="4"/>
        <v>1.582243339210049</v>
      </c>
      <c r="K16" s="2">
        <f t="shared" si="5"/>
        <v>1.1261624192640001</v>
      </c>
    </row>
    <row r="17" spans="1:11" x14ac:dyDescent="0.25">
      <c r="A17">
        <f t="shared" si="1"/>
        <v>2031</v>
      </c>
      <c r="B17" s="16">
        <f t="shared" si="2"/>
        <v>1.4359033598037139</v>
      </c>
      <c r="C17" s="16">
        <f t="shared" si="0"/>
        <v>1.0995656358857271</v>
      </c>
      <c r="E17" s="16">
        <f>'23 IRP Summary'!E14</f>
        <v>0.26910450682569392</v>
      </c>
      <c r="F17" s="16">
        <f>'23 IRP Summary'!F14</f>
        <v>0.70056276923674043</v>
      </c>
      <c r="H17" s="16">
        <f t="shared" si="3"/>
        <v>1.3516962933134014</v>
      </c>
      <c r="I17" s="16">
        <f t="shared" si="4"/>
        <v>1.6138882059942501</v>
      </c>
      <c r="K17" s="2">
        <f t="shared" si="5"/>
        <v>1.14868566764928</v>
      </c>
    </row>
    <row r="18" spans="1:11" x14ac:dyDescent="0.25">
      <c r="A18">
        <f t="shared" si="1"/>
        <v>2032</v>
      </c>
      <c r="B18" s="16">
        <f t="shared" si="2"/>
        <v>1.4646214269997881</v>
      </c>
      <c r="C18" s="16">
        <f t="shared" si="0"/>
        <v>1.1215569486034416</v>
      </c>
      <c r="E18" s="16">
        <f>'23 IRP Summary'!E15</f>
        <v>0.20800050461901834</v>
      </c>
      <c r="F18" s="16">
        <f>'23 IRP Summary'!F15</f>
        <v>0.71817731220036396</v>
      </c>
      <c r="H18" s="16">
        <f t="shared" si="3"/>
        <v>1.3787302191796693</v>
      </c>
      <c r="I18" s="16">
        <f t="shared" si="4"/>
        <v>1.6461659701141351</v>
      </c>
      <c r="K18" s="2">
        <f t="shared" si="5"/>
        <v>1.1716593810022657</v>
      </c>
    </row>
    <row r="19" spans="1:11" x14ac:dyDescent="0.25">
      <c r="A19">
        <f t="shared" si="1"/>
        <v>2033</v>
      </c>
      <c r="B19" s="16">
        <f t="shared" si="2"/>
        <v>1.493913855539784</v>
      </c>
      <c r="C19" s="16">
        <f t="shared" si="0"/>
        <v>1.1439880875755104</v>
      </c>
      <c r="E19" s="16">
        <f>'23 IRP Summary'!E16</f>
        <v>0.1370792701787486</v>
      </c>
      <c r="F19" s="16">
        <f>'23 IRP Summary'!F16</f>
        <v>0.46282930420438961</v>
      </c>
      <c r="H19" s="16">
        <f t="shared" si="3"/>
        <v>1.4063048235632627</v>
      </c>
      <c r="I19" s="16">
        <f t="shared" si="4"/>
        <v>1.6790892895164178</v>
      </c>
      <c r="K19" s="2">
        <f t="shared" si="5"/>
        <v>1.1950925686223111</v>
      </c>
    </row>
    <row r="20" spans="1:11" x14ac:dyDescent="0.25">
      <c r="A20">
        <f t="shared" si="1"/>
        <v>2034</v>
      </c>
      <c r="B20" s="16">
        <f t="shared" si="2"/>
        <v>1.5237921326505797</v>
      </c>
      <c r="C20" s="16">
        <f t="shared" si="0"/>
        <v>1.1668678493270206</v>
      </c>
      <c r="E20" s="16">
        <f>'23 IRP Summary'!E17</f>
        <v>0.13790506017944884</v>
      </c>
      <c r="F20" s="16">
        <f>'23 IRP Summary'!F17</f>
        <v>0.42518933024967454</v>
      </c>
      <c r="H20" s="16">
        <f t="shared" si="3"/>
        <v>1.434430920034528</v>
      </c>
      <c r="I20" s="16">
        <f t="shared" si="4"/>
        <v>1.7126710753067462</v>
      </c>
      <c r="K20" s="2">
        <f t="shared" si="5"/>
        <v>1.2189944199947573</v>
      </c>
    </row>
    <row r="21" spans="1:11" x14ac:dyDescent="0.25">
      <c r="A21">
        <f t="shared" si="1"/>
        <v>2035</v>
      </c>
      <c r="B21" s="16">
        <f t="shared" si="2"/>
        <v>1.5542679753035913</v>
      </c>
      <c r="C21" s="16">
        <f t="shared" si="0"/>
        <v>1.1902052063135611</v>
      </c>
      <c r="E21" s="16">
        <f>'23 IRP Summary'!E18</f>
        <v>0.25768319971709897</v>
      </c>
      <c r="F21" s="16">
        <f>'23 IRP Summary'!F18</f>
        <v>0.58293364569073525</v>
      </c>
      <c r="H21" s="16">
        <f t="shared" si="3"/>
        <v>1.4631195384352185</v>
      </c>
      <c r="I21" s="16">
        <f t="shared" si="4"/>
        <v>1.7469244968128812</v>
      </c>
      <c r="K21" s="2">
        <f t="shared" si="5"/>
        <v>1.2433743083946525</v>
      </c>
    </row>
    <row r="22" spans="1:11" x14ac:dyDescent="0.25">
      <c r="A22">
        <f t="shared" si="1"/>
        <v>2036</v>
      </c>
      <c r="B22" s="16">
        <f t="shared" si="2"/>
        <v>1.5853533348096631</v>
      </c>
      <c r="C22" s="16">
        <f t="shared" si="0"/>
        <v>1.2140093104398324</v>
      </c>
      <c r="E22" s="16">
        <f>'23 IRP Summary'!E19</f>
        <v>0.39283226790195386</v>
      </c>
      <c r="F22" s="16">
        <f>'23 IRP Summary'!F19</f>
        <v>0.8086744711462559</v>
      </c>
      <c r="H22" s="16">
        <f t="shared" si="3"/>
        <v>1.4923819292039229</v>
      </c>
      <c r="I22" s="16">
        <f t="shared" si="4"/>
        <v>1.7818629867491389</v>
      </c>
      <c r="K22" s="2">
        <f t="shared" si="5"/>
        <v>1.2682417945625455</v>
      </c>
    </row>
    <row r="23" spans="1:11" x14ac:dyDescent="0.25">
      <c r="A23">
        <f t="shared" si="1"/>
        <v>2037</v>
      </c>
      <c r="B23" s="16">
        <f t="shared" si="2"/>
        <v>1.6170604015058565</v>
      </c>
      <c r="C23" s="16">
        <f t="shared" si="0"/>
        <v>1.2382894966486291</v>
      </c>
      <c r="E23" s="16">
        <f>'23 IRP Summary'!E20</f>
        <v>0.23857145443788996</v>
      </c>
      <c r="F23" s="16">
        <f>'23 IRP Summary'!F20</f>
        <v>0.45027810295181148</v>
      </c>
      <c r="H23" s="16">
        <f t="shared" si="3"/>
        <v>1.5222295677880013</v>
      </c>
      <c r="I23" s="16">
        <f t="shared" si="4"/>
        <v>1.8175002464841217</v>
      </c>
      <c r="K23" s="2">
        <f t="shared" si="5"/>
        <v>1.2936066304537963</v>
      </c>
    </row>
    <row r="24" spans="1:11" x14ac:dyDescent="0.25">
      <c r="A24">
        <f t="shared" si="1"/>
        <v>2038</v>
      </c>
      <c r="B24" s="16">
        <f t="shared" si="2"/>
        <v>1.6494016095359736</v>
      </c>
      <c r="C24" s="16">
        <f t="shared" si="0"/>
        <v>1.2630552865816016</v>
      </c>
      <c r="E24" s="16">
        <f>'23 IRP Summary'!E21</f>
        <v>0.29111366385339038</v>
      </c>
      <c r="F24" s="16">
        <f>'23 IRP Summary'!F21</f>
        <v>0.48907466195582394</v>
      </c>
      <c r="H24" s="16">
        <f t="shared" si="3"/>
        <v>1.5526741591437614</v>
      </c>
      <c r="I24" s="16">
        <f t="shared" si="4"/>
        <v>1.8538502514138042</v>
      </c>
      <c r="K24" s="2">
        <f t="shared" si="5"/>
        <v>1.3194787630628724</v>
      </c>
    </row>
    <row r="25" spans="1:11" x14ac:dyDescent="0.25">
      <c r="A25">
        <f t="shared" si="1"/>
        <v>2039</v>
      </c>
      <c r="B25" s="16">
        <f t="shared" si="2"/>
        <v>1.682389641726693</v>
      </c>
      <c r="C25" s="16">
        <f t="shared" si="0"/>
        <v>1.2883163923132337</v>
      </c>
      <c r="E25" s="16">
        <f>'23 IRP Summary'!E22</f>
        <v>0.3448337163193308</v>
      </c>
      <c r="F25" s="16">
        <f>'23 IRP Summary'!F22</f>
        <v>0.58981523081982667</v>
      </c>
      <c r="H25" s="16">
        <f t="shared" si="3"/>
        <v>1.5837276423266367</v>
      </c>
      <c r="I25" s="16">
        <f t="shared" si="4"/>
        <v>1.8909272564420803</v>
      </c>
      <c r="K25" s="2">
        <f t="shared" si="5"/>
        <v>1.3458683383241299</v>
      </c>
    </row>
    <row r="26" spans="1:11" x14ac:dyDescent="0.25">
      <c r="A26">
        <f t="shared" si="1"/>
        <v>2040</v>
      </c>
      <c r="B26" s="16">
        <f t="shared" si="2"/>
        <v>1.7160374345612268</v>
      </c>
      <c r="C26" s="16">
        <f t="shared" si="0"/>
        <v>1.3140827201594985</v>
      </c>
      <c r="E26" s="16">
        <f>'23 IRP Summary'!E23</f>
        <v>0.35912531200253905</v>
      </c>
      <c r="F26" s="16">
        <f>'23 IRP Summary'!F23</f>
        <v>0.70242054105444696</v>
      </c>
      <c r="H26" s="16">
        <f t="shared" si="3"/>
        <v>1.6154021951731694</v>
      </c>
      <c r="I26" s="16">
        <f t="shared" si="4"/>
        <v>1.9287458015709218</v>
      </c>
      <c r="K26" s="2">
        <f t="shared" si="5"/>
        <v>1.3727857050906125</v>
      </c>
    </row>
    <row r="27" spans="1:11" x14ac:dyDescent="0.25">
      <c r="A27">
        <f t="shared" si="1"/>
        <v>2041</v>
      </c>
      <c r="B27" s="16">
        <f t="shared" si="2"/>
        <v>1.7503581832524513</v>
      </c>
      <c r="C27" s="16">
        <f t="shared" si="0"/>
        <v>1.3403643745626885</v>
      </c>
      <c r="E27" s="16">
        <f>'23 IRP Summary'!E24</f>
        <v>0.67099784610394708</v>
      </c>
      <c r="F27" s="16">
        <f>'23 IRP Summary'!F24</f>
        <v>1.1566224355719614</v>
      </c>
      <c r="H27" s="16">
        <f t="shared" si="3"/>
        <v>1.6477102390766327</v>
      </c>
      <c r="I27" s="16">
        <f t="shared" si="4"/>
        <v>1.9673207176023402</v>
      </c>
      <c r="K27" s="2">
        <f t="shared" si="5"/>
        <v>1.4002414191924248</v>
      </c>
    </row>
    <row r="28" spans="1:11" x14ac:dyDescent="0.25">
      <c r="A28">
        <f t="shared" si="1"/>
        <v>2042</v>
      </c>
      <c r="B28" s="16">
        <f t="shared" si="2"/>
        <v>1.7853653469175004</v>
      </c>
      <c r="C28" s="16">
        <f t="shared" si="0"/>
        <v>1.3671716620539422</v>
      </c>
      <c r="E28" s="16">
        <f>'23 IRP Summary'!E25</f>
        <v>0.81171929115624897</v>
      </c>
      <c r="F28" s="16">
        <f>'23 IRP Summary'!F25</f>
        <v>1.2971094931648595</v>
      </c>
      <c r="H28" s="16">
        <f t="shared" si="3"/>
        <v>1.6806644438581655</v>
      </c>
      <c r="I28" s="16">
        <f t="shared" si="4"/>
        <v>2.0066671319543872</v>
      </c>
      <c r="K28" s="2">
        <f t="shared" si="5"/>
        <v>1.4282462475762734</v>
      </c>
    </row>
    <row r="29" spans="1:11" x14ac:dyDescent="0.25">
      <c r="A29">
        <f t="shared" si="1"/>
        <v>2043</v>
      </c>
      <c r="B29" s="16">
        <f t="shared" ref="B29:B31" si="6">B28*(1+$B$35)</f>
        <v>1.8210726538558504</v>
      </c>
      <c r="C29" s="16">
        <f t="shared" ref="C29:C31" si="7">C28*(1+$B$35)</f>
        <v>1.3945150952950212</v>
      </c>
      <c r="E29" s="16">
        <f t="shared" ref="E29:E31" si="8">E28*(1+$B$35)</f>
        <v>0.82795367697937394</v>
      </c>
      <c r="F29" s="16">
        <f t="shared" ref="F29:F31" si="9">F28*(1+$B$35)</f>
        <v>1.3230516830281567</v>
      </c>
      <c r="H29" s="16">
        <f t="shared" si="3"/>
        <v>1.7142777327353289</v>
      </c>
      <c r="I29" s="16">
        <f t="shared" si="4"/>
        <v>2.0468004745934749</v>
      </c>
      <c r="K29" s="2">
        <f t="shared" si="5"/>
        <v>1.4568111725277988</v>
      </c>
    </row>
    <row r="30" spans="1:11" x14ac:dyDescent="0.25">
      <c r="A30">
        <f t="shared" si="1"/>
        <v>2044</v>
      </c>
      <c r="B30" s="16">
        <f t="shared" si="6"/>
        <v>1.8574941069329673</v>
      </c>
      <c r="C30" s="16">
        <f t="shared" si="7"/>
        <v>1.4224053972009216</v>
      </c>
      <c r="E30" s="16">
        <f t="shared" si="8"/>
        <v>0.84451275051896146</v>
      </c>
      <c r="F30" s="16">
        <f t="shared" si="9"/>
        <v>1.3495127166887197</v>
      </c>
      <c r="H30" s="16">
        <f t="shared" si="3"/>
        <v>1.7485632873900354</v>
      </c>
      <c r="I30" s="16">
        <f t="shared" si="4"/>
        <v>2.0877364840853443</v>
      </c>
      <c r="K30" s="2">
        <f t="shared" si="5"/>
        <v>1.4859473959783549</v>
      </c>
    </row>
    <row r="31" spans="1:11" x14ac:dyDescent="0.25">
      <c r="A31">
        <f t="shared" si="1"/>
        <v>2045</v>
      </c>
      <c r="B31" s="16">
        <f t="shared" si="6"/>
        <v>1.8946439890716267</v>
      </c>
      <c r="C31" s="16">
        <f t="shared" si="7"/>
        <v>1.45085350514494</v>
      </c>
      <c r="E31" s="16">
        <f t="shared" si="8"/>
        <v>0.86140300552934068</v>
      </c>
      <c r="F31" s="16">
        <f t="shared" si="9"/>
        <v>1.3765029710224941</v>
      </c>
      <c r="H31" s="16">
        <f t="shared" si="3"/>
        <v>1.7835345531378362</v>
      </c>
      <c r="I31" s="16">
        <f t="shared" si="4"/>
        <v>2.1294912137670514</v>
      </c>
      <c r="K31" s="2">
        <f t="shared" si="5"/>
        <v>1.5156663438979221</v>
      </c>
    </row>
    <row r="32" spans="1:11" x14ac:dyDescent="0.25">
      <c r="B32" s="16"/>
      <c r="C32" s="16"/>
      <c r="E32" s="1"/>
      <c r="F32" s="1"/>
    </row>
    <row r="33" spans="1:9" x14ac:dyDescent="0.25">
      <c r="A33" s="14" t="s">
        <v>32</v>
      </c>
      <c r="B33" s="12">
        <f>-PMT($B$36,COUNT(B10:B29),NPV($B$36,B10:B29))</f>
        <v>1.4456450006151131</v>
      </c>
      <c r="C33" s="12">
        <f>-PMT($B$36,COUNT(C10:C29),NPV($B$36,C10:C29))</f>
        <v>1.1070254509214825</v>
      </c>
      <c r="E33" s="12">
        <f t="shared" ref="E33:F33" si="10">-PMT($B$36,COUNT(E10:E29),NPV($B$36,E10:E29))</f>
        <v>1.3608666456812364</v>
      </c>
      <c r="F33" s="12">
        <f t="shared" si="10"/>
        <v>1.624837354559999</v>
      </c>
      <c r="H33" s="12">
        <f t="shared" ref="H33:I33" si="11">-PMT($B$36,COUNT(H10:H29),NPV($B$36,H10:H29))</f>
        <v>1.3608666456812364</v>
      </c>
      <c r="I33" s="12">
        <f t="shared" si="11"/>
        <v>1.6248373545599992</v>
      </c>
    </row>
    <row r="35" spans="1:9" x14ac:dyDescent="0.25">
      <c r="A35" s="14" t="s">
        <v>28</v>
      </c>
      <c r="B35" s="2">
        <v>0.02</v>
      </c>
    </row>
    <row r="36" spans="1:9" x14ac:dyDescent="0.25">
      <c r="A36" s="14" t="s">
        <v>31</v>
      </c>
      <c r="B36" s="18">
        <v>7.9799999999999996E-2</v>
      </c>
      <c r="C36" t="s">
        <v>33</v>
      </c>
    </row>
    <row r="37" spans="1:9" x14ac:dyDescent="0.25">
      <c r="A37" s="14"/>
      <c r="B37" s="18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3DC80-E73B-421A-A3F5-A1D1F66606C3}">
  <dimension ref="A1:O33"/>
  <sheetViews>
    <sheetView workbookViewId="0">
      <selection activeCell="A31" sqref="A31"/>
    </sheetView>
  </sheetViews>
  <sheetFormatPr defaultRowHeight="15" x14ac:dyDescent="0.25"/>
  <cols>
    <col min="2" max="2" width="18.5703125" bestFit="1" customWidth="1"/>
    <col min="11" max="11" width="18.5703125" bestFit="1" customWidth="1"/>
  </cols>
  <sheetData>
    <row r="1" spans="1:15" x14ac:dyDescent="0.25">
      <c r="L1" t="s">
        <v>1</v>
      </c>
      <c r="M1" s="2">
        <v>6.7699999999999996E-2</v>
      </c>
    </row>
    <row r="2" spans="1:15" x14ac:dyDescent="0.25">
      <c r="L2" t="s">
        <v>20</v>
      </c>
      <c r="M2" s="2">
        <v>2.2700000000000001E-2</v>
      </c>
    </row>
    <row r="4" spans="1:15" x14ac:dyDescent="0.25">
      <c r="A4" t="s">
        <v>13</v>
      </c>
      <c r="H4" t="s">
        <v>21</v>
      </c>
    </row>
    <row r="5" spans="1:15" ht="15.75" thickBot="1" x14ac:dyDescent="0.3">
      <c r="A5" t="s">
        <v>2</v>
      </c>
      <c r="B5" t="s">
        <v>5</v>
      </c>
      <c r="C5" t="s">
        <v>6</v>
      </c>
      <c r="E5" t="s">
        <v>14</v>
      </c>
      <c r="F5" t="s">
        <v>15</v>
      </c>
      <c r="H5" t="s">
        <v>3</v>
      </c>
      <c r="I5" t="s">
        <v>4</v>
      </c>
      <c r="J5" t="s">
        <v>0</v>
      </c>
      <c r="K5" t="s">
        <v>24</v>
      </c>
    </row>
    <row r="6" spans="1:15" ht="25.5" x14ac:dyDescent="0.25">
      <c r="A6" s="3">
        <v>2023</v>
      </c>
      <c r="B6" s="13">
        <v>2.3492273456020167</v>
      </c>
      <c r="C6" s="13">
        <v>6.0697413405614018</v>
      </c>
      <c r="E6" s="1"/>
      <c r="F6" s="1"/>
      <c r="H6" s="10"/>
      <c r="I6" s="10"/>
      <c r="K6" s="4"/>
      <c r="L6" s="5" t="s">
        <v>17</v>
      </c>
      <c r="M6" s="5" t="s">
        <v>18</v>
      </c>
      <c r="N6" s="5" t="s">
        <v>7</v>
      </c>
      <c r="O6" s="5" t="s">
        <v>8</v>
      </c>
    </row>
    <row r="7" spans="1:15" ht="15.75" thickBot="1" x14ac:dyDescent="0.3">
      <c r="A7" s="3">
        <f t="shared" ref="A7:A25" si="0">A6+1</f>
        <v>2024</v>
      </c>
      <c r="B7" s="13">
        <v>2.0253231680280233</v>
      </c>
      <c r="C7" s="13">
        <v>1.921229360613343</v>
      </c>
      <c r="E7" s="1"/>
      <c r="F7" s="1"/>
      <c r="H7" s="10"/>
      <c r="I7" s="10"/>
      <c r="K7" s="6"/>
      <c r="L7" s="7" t="s">
        <v>16</v>
      </c>
      <c r="M7" s="7" t="s">
        <v>16</v>
      </c>
      <c r="N7" s="7" t="s">
        <v>16</v>
      </c>
      <c r="O7" s="7" t="s">
        <v>16</v>
      </c>
    </row>
    <row r="8" spans="1:15" ht="15.75" thickBot="1" x14ac:dyDescent="0.3">
      <c r="A8" s="3">
        <f t="shared" si="0"/>
        <v>2025</v>
      </c>
      <c r="B8" s="13">
        <v>2.7167488888448013</v>
      </c>
      <c r="C8" s="13">
        <v>1.2174339530491534</v>
      </c>
      <c r="E8" s="1">
        <f>[1]Annual!M6</f>
        <v>5.6364889281528976</v>
      </c>
      <c r="F8" s="1">
        <f>[1]Annual!N6</f>
        <v>3.847100701208106</v>
      </c>
      <c r="H8" s="10">
        <f>[1]Annual!P6</f>
        <v>18.020375654578618</v>
      </c>
      <c r="I8" s="10">
        <f>[1]Annual!Q6</f>
        <v>18.373101917425487</v>
      </c>
      <c r="K8" s="8" t="s">
        <v>9</v>
      </c>
      <c r="L8" s="9" t="s">
        <v>19</v>
      </c>
      <c r="M8" s="9" t="s">
        <v>19</v>
      </c>
      <c r="N8" s="9" t="s">
        <v>10</v>
      </c>
      <c r="O8" s="9" t="s">
        <v>10</v>
      </c>
    </row>
    <row r="9" spans="1:15" ht="15.75" thickBot="1" x14ac:dyDescent="0.3">
      <c r="A9" s="3">
        <f t="shared" si="0"/>
        <v>2026</v>
      </c>
      <c r="B9" s="13">
        <v>2.8777996216025543</v>
      </c>
      <c r="C9" s="13">
        <v>0.91276591166633181</v>
      </c>
      <c r="E9" s="1">
        <f>[1]Annual!M7</f>
        <v>3.5119450498647748</v>
      </c>
      <c r="F9" s="1">
        <f>[1]Annual!N7</f>
        <v>4.7977833918832271</v>
      </c>
      <c r="H9" s="10">
        <f>[1]Annual!P7</f>
        <v>19.868554098439532</v>
      </c>
      <c r="I9" s="10">
        <f>[1]Annual!Q7</f>
        <v>13.524112259852171</v>
      </c>
      <c r="K9" s="8" t="s">
        <v>11</v>
      </c>
      <c r="L9" s="11">
        <f>-PMT($M$1,COUNT(E$8:E$24),NPV($M$1,E$8:E$24))*(1+$M$2)^(2022-2024)</f>
        <v>1.1992805633063928</v>
      </c>
      <c r="M9" s="11">
        <f>-PMT($M$1,COUNT(F$8:F$24),NPV($M$1,F$8:F$24))*(1+$M$2)^(2022-2024)</f>
        <v>1.4844250191500836</v>
      </c>
      <c r="N9" s="11">
        <f>-PMT($M$1,COUNT(B$6:B$23),NPV($M$1,B$6:B$23))</f>
        <v>1.5832219992393362</v>
      </c>
      <c r="O9" s="11">
        <f>-PMT($M$1,COUNT(C$6:C$23),NPV($M$1,C$6:C$23))</f>
        <v>1.3242261898767953</v>
      </c>
    </row>
    <row r="10" spans="1:15" x14ac:dyDescent="0.25">
      <c r="A10" s="3">
        <f t="shared" si="0"/>
        <v>2027</v>
      </c>
      <c r="B10" s="13">
        <v>3.2796133388942095</v>
      </c>
      <c r="C10" s="13">
        <v>2.3703825092023694</v>
      </c>
      <c r="E10" s="1">
        <f>[1]Annual!M8</f>
        <v>2.2621123675385832</v>
      </c>
      <c r="F10" s="1">
        <f>[1]Annual!N8</f>
        <v>3.4835553508973507</v>
      </c>
      <c r="H10" s="10">
        <f>[1]Annual!P8</f>
        <v>15.440703065159514</v>
      </c>
      <c r="I10" s="10">
        <f>[1]Annual!Q8</f>
        <v>11.962021054624367</v>
      </c>
    </row>
    <row r="11" spans="1:15" x14ac:dyDescent="0.25">
      <c r="A11" s="3">
        <f t="shared" si="0"/>
        <v>2028</v>
      </c>
      <c r="B11" s="13">
        <v>3.439350241235116</v>
      </c>
      <c r="C11" s="13">
        <v>2.323486472705794</v>
      </c>
      <c r="E11" s="1">
        <f>[1]Annual!M9</f>
        <v>0.453777635343868</v>
      </c>
      <c r="F11" s="1">
        <f>[1]Annual!N9</f>
        <v>0.64102975721880573</v>
      </c>
      <c r="H11" s="10">
        <f>[1]Annual!P9</f>
        <v>12.915589307300207</v>
      </c>
      <c r="I11" s="10">
        <f>[1]Annual!Q9</f>
        <v>6.7103767552553197</v>
      </c>
    </row>
    <row r="12" spans="1:15" x14ac:dyDescent="0.25">
      <c r="A12" s="3">
        <f t="shared" si="0"/>
        <v>2029</v>
      </c>
      <c r="B12" s="13">
        <v>1.7981748724531614</v>
      </c>
      <c r="C12" s="13">
        <v>0.39908886513878433</v>
      </c>
      <c r="E12" s="1">
        <f>[1]Annual!M10</f>
        <v>0.35907830585448569</v>
      </c>
      <c r="F12" s="1">
        <f>[1]Annual!N10</f>
        <v>0.66970465653973077</v>
      </c>
      <c r="H12" s="10">
        <f>[1]Annual!P10</f>
        <v>14.391840444904691</v>
      </c>
      <c r="I12" s="10">
        <f>[1]Annual!Q10</f>
        <v>7.8814713478750491</v>
      </c>
    </row>
    <row r="13" spans="1:15" x14ac:dyDescent="0.25">
      <c r="A13" s="3">
        <f t="shared" si="0"/>
        <v>2030</v>
      </c>
      <c r="B13" s="13">
        <v>1.6492028069018589</v>
      </c>
      <c r="C13" s="13">
        <v>0.54320120160484764</v>
      </c>
      <c r="E13" s="1">
        <f>[1]Annual!M11</f>
        <v>0.2650844441510759</v>
      </c>
      <c r="F13" s="1">
        <f>[1]Annual!N11</f>
        <v>0.77147662156335917</v>
      </c>
      <c r="H13" s="10">
        <f>[1]Annual!P11</f>
        <v>13.180179070474768</v>
      </c>
      <c r="I13" s="10">
        <f>[1]Annual!Q11</f>
        <v>6.1535798677454672</v>
      </c>
    </row>
    <row r="14" spans="1:15" x14ac:dyDescent="0.25">
      <c r="A14" s="3">
        <f t="shared" si="0"/>
        <v>2031</v>
      </c>
      <c r="B14" s="13">
        <v>0.49668813626283759</v>
      </c>
      <c r="C14" s="13">
        <v>0.20333623244357069</v>
      </c>
      <c r="E14" s="1">
        <f>[1]Annual!M12</f>
        <v>0.26910450682569392</v>
      </c>
      <c r="F14" s="1">
        <f>[1]Annual!N12</f>
        <v>0.70056276923674043</v>
      </c>
      <c r="H14" s="10">
        <f>[1]Annual!P12</f>
        <v>12.78448711660516</v>
      </c>
      <c r="I14" s="10">
        <f>[1]Annual!Q12</f>
        <v>5.4776646680302701</v>
      </c>
    </row>
    <row r="15" spans="1:15" x14ac:dyDescent="0.25">
      <c r="A15" s="3">
        <f t="shared" si="0"/>
        <v>2032</v>
      </c>
      <c r="B15" s="13">
        <v>0.65628490288989527</v>
      </c>
      <c r="C15" s="13">
        <v>0.26777701114236585</v>
      </c>
      <c r="E15" s="1">
        <f>[1]Annual!M13</f>
        <v>0.20800050461901834</v>
      </c>
      <c r="F15" s="1">
        <f>[1]Annual!N13</f>
        <v>0.71817731220036396</v>
      </c>
      <c r="H15" s="10">
        <f>[1]Annual!P13</f>
        <v>15.018098925208664</v>
      </c>
      <c r="I15" s="10">
        <f>[1]Annual!Q13</f>
        <v>4.660242360971691</v>
      </c>
    </row>
    <row r="16" spans="1:15" x14ac:dyDescent="0.25">
      <c r="A16" s="3">
        <f t="shared" si="0"/>
        <v>2033</v>
      </c>
      <c r="B16" s="13">
        <v>0.17589533658691367</v>
      </c>
      <c r="C16" s="13">
        <v>0.11559477579826567</v>
      </c>
      <c r="E16" s="1">
        <f>[1]Annual!M14</f>
        <v>0.1370792701787486</v>
      </c>
      <c r="F16" s="1">
        <f>[1]Annual!N14</f>
        <v>0.46282930420438961</v>
      </c>
      <c r="H16" s="10">
        <f>[1]Annual!P14</f>
        <v>12.747096585737124</v>
      </c>
      <c r="I16" s="10">
        <f>[1]Annual!Q14</f>
        <v>4.9117016893185195</v>
      </c>
    </row>
    <row r="17" spans="1:11" x14ac:dyDescent="0.25">
      <c r="A17" s="3">
        <f t="shared" si="0"/>
        <v>2034</v>
      </c>
      <c r="B17" s="13">
        <v>0.12894027104083028</v>
      </c>
      <c r="C17" s="13">
        <v>0.11571003139097054</v>
      </c>
      <c r="E17" s="1">
        <f>[1]Annual!M15</f>
        <v>0.13790506017944884</v>
      </c>
      <c r="F17" s="1">
        <f>[1]Annual!N15</f>
        <v>0.42518933024967454</v>
      </c>
      <c r="H17" s="10">
        <f>[1]Annual!P15</f>
        <v>11.395885959862744</v>
      </c>
      <c r="I17" s="10">
        <f>[1]Annual!Q15</f>
        <v>5.868436119328412</v>
      </c>
    </row>
    <row r="18" spans="1:11" x14ac:dyDescent="0.25">
      <c r="A18" s="3">
        <f t="shared" si="0"/>
        <v>2035</v>
      </c>
      <c r="B18" s="13">
        <v>0.17271540358688844</v>
      </c>
      <c r="C18" s="13">
        <v>0.13022140944328695</v>
      </c>
      <c r="E18" s="1">
        <f>[1]Annual!M16</f>
        <v>0.25768319971709897</v>
      </c>
      <c r="F18" s="1">
        <f>[1]Annual!N16</f>
        <v>0.58293364569073525</v>
      </c>
      <c r="H18" s="10">
        <f>[1]Annual!P16</f>
        <v>11.758375034996988</v>
      </c>
      <c r="I18" s="10">
        <f>[1]Annual!Q16</f>
        <v>6.6052172539484886</v>
      </c>
    </row>
    <row r="19" spans="1:11" x14ac:dyDescent="0.25">
      <c r="A19" s="3">
        <f t="shared" si="0"/>
        <v>2036</v>
      </c>
      <c r="B19" s="13">
        <v>0.14864264669746666</v>
      </c>
      <c r="C19" s="13">
        <v>0.12045160154575105</v>
      </c>
      <c r="E19" s="1">
        <f>[1]Annual!M17</f>
        <v>0.39283226790195386</v>
      </c>
      <c r="F19" s="1">
        <f>[1]Annual!N17</f>
        <v>0.8086744711462559</v>
      </c>
      <c r="H19" s="10">
        <f>[1]Annual!P17</f>
        <v>11.529385924952573</v>
      </c>
      <c r="I19" s="10">
        <f>[1]Annual!Q17</f>
        <v>6.0314244358701448</v>
      </c>
    </row>
    <row r="20" spans="1:11" x14ac:dyDescent="0.25">
      <c r="A20" s="3">
        <f t="shared" si="0"/>
        <v>2037</v>
      </c>
      <c r="B20" s="1">
        <v>3.3116424447450082E-2</v>
      </c>
      <c r="C20" s="13">
        <v>4.7554866692976844E-2</v>
      </c>
      <c r="E20" s="1">
        <f>[1]Annual!M18</f>
        <v>0.23857145443788996</v>
      </c>
      <c r="F20" s="1">
        <f>[1]Annual!N18</f>
        <v>0.45027810295181148</v>
      </c>
      <c r="H20" s="10">
        <f>[1]Annual!P18</f>
        <v>9.8823600041195583</v>
      </c>
      <c r="I20" s="10">
        <f>[1]Annual!Q18</f>
        <v>6.4991754382992264</v>
      </c>
    </row>
    <row r="21" spans="1:11" x14ac:dyDescent="0.25">
      <c r="A21" s="3">
        <f t="shared" si="0"/>
        <v>2038</v>
      </c>
      <c r="B21" s="1">
        <v>3.1130664913518614E-2</v>
      </c>
      <c r="C21" s="13">
        <v>4.618908398217593E-2</v>
      </c>
      <c r="E21" s="1">
        <f>[1]Annual!M19</f>
        <v>0.29111366385339038</v>
      </c>
      <c r="F21" s="1">
        <f>[1]Annual!N19</f>
        <v>0.48907466195582394</v>
      </c>
      <c r="H21" s="10">
        <f>[1]Annual!P19</f>
        <v>12.006998554210728</v>
      </c>
      <c r="I21" s="10">
        <f>[1]Annual!Q19</f>
        <v>9.1289963635333962</v>
      </c>
    </row>
    <row r="22" spans="1:11" x14ac:dyDescent="0.25">
      <c r="A22" s="3">
        <f t="shared" si="0"/>
        <v>2039</v>
      </c>
      <c r="B22" s="1">
        <v>3.3350167824736821E-2</v>
      </c>
      <c r="C22" s="13">
        <v>4.8060153623239496E-2</v>
      </c>
      <c r="E22" s="1">
        <f>[1]Annual!M20</f>
        <v>0.3448337163193308</v>
      </c>
      <c r="F22" s="1">
        <f>[1]Annual!N20</f>
        <v>0.58981523081982667</v>
      </c>
      <c r="H22" s="10">
        <f>[1]Annual!P20</f>
        <v>10.433260733466794</v>
      </c>
      <c r="I22" s="10">
        <f>[1]Annual!Q20</f>
        <v>6.9827189733491881</v>
      </c>
    </row>
    <row r="23" spans="1:11" x14ac:dyDescent="0.25">
      <c r="A23" s="3">
        <f t="shared" si="0"/>
        <v>2040</v>
      </c>
      <c r="B23" s="1">
        <v>0.14199341904899868</v>
      </c>
      <c r="C23" s="13">
        <v>0.34724723176965139</v>
      </c>
      <c r="E23" s="1">
        <f>[1]Annual!M21</f>
        <v>0.35912531200253905</v>
      </c>
      <c r="F23" s="1">
        <f>[1]Annual!N21</f>
        <v>0.70242054105444696</v>
      </c>
      <c r="H23" s="10">
        <f>[1]Annual!P21</f>
        <v>11.434237033609136</v>
      </c>
      <c r="I23" s="10">
        <f>[1]Annual!Q21</f>
        <v>8.4338575000220608</v>
      </c>
    </row>
    <row r="24" spans="1:11" x14ac:dyDescent="0.25">
      <c r="A24" s="3">
        <f t="shared" si="0"/>
        <v>2041</v>
      </c>
      <c r="E24" s="1">
        <f>[1]Annual!M22</f>
        <v>0.67099784610394708</v>
      </c>
      <c r="F24" s="1">
        <f>[1]Annual!N22</f>
        <v>1.1566224355719614</v>
      </c>
      <c r="H24" s="10">
        <f>[1]Annual!P22</f>
        <v>17.138187072556608</v>
      </c>
      <c r="I24" s="10">
        <f>[1]Annual!Q22</f>
        <v>13.46058332513498</v>
      </c>
    </row>
    <row r="25" spans="1:11" x14ac:dyDescent="0.25">
      <c r="A25" s="3">
        <f t="shared" si="0"/>
        <v>2042</v>
      </c>
      <c r="E25" s="1">
        <f>[1]Annual!M23</f>
        <v>0.81171929115624897</v>
      </c>
      <c r="F25" s="1">
        <f>[1]Annual!N23</f>
        <v>1.2971094931648595</v>
      </c>
      <c r="H25" s="10">
        <f>[1]Annual!P23</f>
        <v>16.513322489820368</v>
      </c>
      <c r="I25" s="10">
        <f>[1]Annual!Q23</f>
        <v>13.143016713759721</v>
      </c>
    </row>
    <row r="26" spans="1:11" x14ac:dyDescent="0.25">
      <c r="G26" t="s">
        <v>23</v>
      </c>
    </row>
    <row r="27" spans="1:11" x14ac:dyDescent="0.25">
      <c r="G27" t="s">
        <v>22</v>
      </c>
      <c r="H27" s="12">
        <f>-PMT($M$1,COUNT(H$8:H$25),NPV($M$1,H$8:H$25))*(1+$M$2)^(2022-2024)</f>
        <v>13.532859823356951</v>
      </c>
      <c r="I27" s="12">
        <f>-PMT($M$1,COUNT(I$8:I$25),NPV($M$1,I$8:I$25))*(1+$M$2)^(2022-2024)</f>
        <v>8.6285916397365536</v>
      </c>
      <c r="J27" s="12">
        <f>AVERAGE(H27:I27)</f>
        <v>11.080725731546753</v>
      </c>
      <c r="K27" t="s">
        <v>2</v>
      </c>
    </row>
    <row r="28" spans="1:11" x14ac:dyDescent="0.25">
      <c r="H28" s="12">
        <f>H27*8760/1000</f>
        <v>118.54785205260688</v>
      </c>
      <c r="I28" s="12">
        <f>I27*8760/1000</f>
        <v>75.586462764092218</v>
      </c>
      <c r="J28" s="12">
        <f>AVERAGE(H28:I28)</f>
        <v>97.067157408349544</v>
      </c>
      <c r="K28" t="s">
        <v>12</v>
      </c>
    </row>
    <row r="30" spans="1:11" x14ac:dyDescent="0.25">
      <c r="A30" t="s">
        <v>35</v>
      </c>
    </row>
    <row r="31" spans="1:11" x14ac:dyDescent="0.25">
      <c r="A31" t="s">
        <v>34</v>
      </c>
    </row>
    <row r="32" spans="1:11" x14ac:dyDescent="0.25">
      <c r="H32" s="12"/>
      <c r="I32" s="12"/>
      <c r="J32" s="12"/>
    </row>
    <row r="33" spans="8:10" x14ac:dyDescent="0.25">
      <c r="H33" s="12"/>
      <c r="I33" s="12"/>
      <c r="J33" s="12"/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2E117B6E7B744F8FA19BE0A741C718" ma:contentTypeVersion="7" ma:contentTypeDescription="Create a new document." ma:contentTypeScope="" ma:versionID="be0e5bd75c6595bf8b8c6baa0e76eef5">
  <xsd:schema xmlns:xsd="http://www.w3.org/2001/XMLSchema" xmlns:xs="http://www.w3.org/2001/XMLSchema" xmlns:p="http://schemas.microsoft.com/office/2006/metadata/properties" xmlns:ns2="57b5fa15-066d-40d6-ab56-ef2db2a327b6" xmlns:ns3="7134b999-6748-4436-add2-dcedf1c57a6b" targetNamespace="http://schemas.microsoft.com/office/2006/metadata/properties" ma:root="true" ma:fieldsID="f1ab3c96a917e758799d5daa10ad9398" ns2:_="" ns3:_="">
    <xsd:import namespace="57b5fa15-066d-40d6-ab56-ef2db2a327b6"/>
    <xsd:import namespace="7134b999-6748-4436-add2-dcedf1c57a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b5fa15-066d-40d6-ab56-ef2db2a32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34b999-6748-4436-add2-dcedf1c57a6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134b999-6748-4436-add2-dcedf1c57a6b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D8F70102-62FA-429F-BD1C-EFC144096F7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B617DEB-1F97-4FE2-8A12-D0094ACDF21A}"/>
</file>

<file path=customXml/itemProps3.xml><?xml version="1.0" encoding="utf-8"?>
<ds:datastoreItem xmlns:ds="http://schemas.openxmlformats.org/officeDocument/2006/customXml" ds:itemID="{F6643874-E862-4F87-8B88-87E4EBE768D2}">
  <ds:schemaRefs>
    <ds:schemaRef ds:uri="http://schemas.microsoft.com/office/2006/documentManagement/types"/>
    <ds:schemaRef ds:uri="http://purl.org/dc/dcmitype/"/>
    <ds:schemaRef ds:uri="a6bdf0c3-ccba-4ad4-a261-da85c323314a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ec465538-51ad-4a49-97bb-3af484439683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 1</vt:lpstr>
      <vt:lpstr>Table 2</vt:lpstr>
      <vt:lpstr>ID Integration</vt:lpstr>
      <vt:lpstr>23 IRP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MacNeil, Daniel (PacifiCorp)</dc:creator>
  <cp:lastModifiedBy>MacNeil, Daniel (PacifiCorp)</cp:lastModifiedBy>
  <dcterms:created xsi:type="dcterms:W3CDTF">2021-08-30T11:07:22Z</dcterms:created>
  <dcterms:modified xsi:type="dcterms:W3CDTF">2023-11-28T23:19:13Z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0x0101009A2E117B6E7B744F8FA19BE0A741C718</vt:lpwstr>
  </property>
  <property fmtid="{D5CDD505-2E9C-101B-9397-08002B2CF9AE}" pid="3" name="Order">
    <vt:r8>67000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MediaServiceImageTags">
    <vt:lpwstr/>
  </property>
</Properties>
</file>